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610" windowWidth="9560" windowHeight="5170" tabRatio="869" activeTab="0"/>
  </bookViews>
  <sheets>
    <sheet name="LEASING" sheetId="1" r:id="rId1"/>
    <sheet name="FINANZIAMENTO" sheetId="2" r:id="rId2"/>
    <sheet name="Offerta" sheetId="3" r:id="rId3"/>
    <sheet name="Cartello" sheetId="4" r:id="rId4"/>
    <sheet name="Cartello verticale" sheetId="5" r:id="rId5"/>
    <sheet name="Leasing - m. 1.gr.Rate BQS" sheetId="6" state="hidden" r:id="rId6"/>
    <sheet name="Leasing - o. 1.gr.Rate BQS" sheetId="7" state="hidden" r:id="rId7"/>
    <sheet name="Leasing - 0%" sheetId="8" state="hidden" r:id="rId8"/>
    <sheet name="Finanzierung_Darlehen" sheetId="9" state="hidden" r:id="rId9"/>
    <sheet name="Lease Formula HOST" sheetId="10" state="hidden" r:id="rId10"/>
  </sheets>
  <definedNames>
    <definedName name="_xlnm.Print_Area" localSheetId="3">'Cartello'!$A$1:$P$16</definedName>
    <definedName name="_xlnm.Print_Area" localSheetId="4">'Cartello verticale'!$A$1:$P$20</definedName>
    <definedName name="_xlnm.Print_Area" localSheetId="1">'FINANZIAMENTO'!$A$1:$Q$23</definedName>
    <definedName name="_xlnm.Print_Area" localSheetId="0">'LEASING'!$A$1:$O$23</definedName>
    <definedName name="_xlnm.Print_Area" localSheetId="2">'Offerta'!$A$1:$K$60</definedName>
  </definedNames>
  <calcPr fullCalcOnLoad="1"/>
</workbook>
</file>

<file path=xl/sharedStrings.xml><?xml version="1.0" encoding="utf-8"?>
<sst xmlns="http://schemas.openxmlformats.org/spreadsheetml/2006/main" count="325" uniqueCount="127">
  <si>
    <t>Leasing</t>
  </si>
  <si>
    <t xml:space="preserve"> </t>
  </si>
  <si>
    <t>Regel- oder margenbesteuert</t>
  </si>
  <si>
    <t>*</t>
  </si>
  <si>
    <t>Duration in months</t>
  </si>
  <si>
    <t>Calculations</t>
  </si>
  <si>
    <t>with PPI</t>
  </si>
  <si>
    <t>pro Monat</t>
  </si>
  <si>
    <t>VAT</t>
  </si>
  <si>
    <t>MWSt</t>
  </si>
  <si>
    <t>Net purchase price</t>
  </si>
  <si>
    <t xml:space="preserve">Annual Nominal Interest Rate </t>
  </si>
  <si>
    <t xml:space="preserve">Residual value </t>
  </si>
  <si>
    <t xml:space="preserve">Downpayment </t>
  </si>
  <si>
    <t>Residual value excl. Vat</t>
  </si>
  <si>
    <t>Residual value excl. VAT</t>
  </si>
  <si>
    <t>Net purchase price excl VAT- Residual Value excl. VAT</t>
  </si>
  <si>
    <t>Downpayment excl VAT</t>
  </si>
  <si>
    <t>Duration in months -1</t>
  </si>
  <si>
    <t>Net purchase price excl. VAT- Residual Value excl. VAT -Down payment excl VAT</t>
  </si>
  <si>
    <t>Monthly Interest Rate</t>
  </si>
  <si>
    <t>(Residual value (excl VAT)* Monthly Interest Rate)/(1+ Monthly Interest Rate)</t>
  </si>
  <si>
    <t>Factor 1</t>
  </si>
  <si>
    <t>Duration in Months-1</t>
  </si>
  <si>
    <t>(Net Purchase price- Residual value excl. VAT) * (1+Monthly Interst rate)^(duration in months-1)* Monthly Interest Rate</t>
  </si>
  <si>
    <t>Factor 2</t>
  </si>
  <si>
    <t>(Residual value (excl VAT)*Duration in months*(Monthly Interest Rate/(Duration in months-1)</t>
  </si>
  <si>
    <t>(1+ Monthly Interest Rate)^(Duration in Months)-1</t>
  </si>
  <si>
    <t>Factor 3</t>
  </si>
  <si>
    <t>(Net Purchase price- Residual value excl. VAT-Downpayment excl. VAT) * (1+Monthly Interst rate)^(duration in months-1)* Monthly Interest Rate</t>
  </si>
  <si>
    <t>(Factor 2/Factor 3)+ Factor 1</t>
  </si>
  <si>
    <t>(1+ Monthly Interest Rate)^(Duration in Months-1)-1</t>
  </si>
  <si>
    <t>Round the answer 1</t>
  </si>
  <si>
    <t>(Factor2/Factor3)+Factor1</t>
  </si>
  <si>
    <t>Round the answer</t>
  </si>
  <si>
    <t>Restwert</t>
  </si>
  <si>
    <t>Interest</t>
  </si>
  <si>
    <t>Instalment</t>
  </si>
  <si>
    <t>total payments</t>
  </si>
  <si>
    <t>financed amount</t>
  </si>
  <si>
    <t>total cost</t>
  </si>
  <si>
    <t>cost per year</t>
  </si>
  <si>
    <t>$</t>
  </si>
  <si>
    <t>Regelbesteuert without downpayment</t>
  </si>
  <si>
    <t>Regelbesteuert with downpayment</t>
  </si>
  <si>
    <t>Monthly installment inc. VAT</t>
  </si>
  <si>
    <t>effective rate</t>
  </si>
  <si>
    <t>Margenbesteuert without downpayment</t>
  </si>
  <si>
    <t>Margenbesteuert with downpayment</t>
  </si>
  <si>
    <t>Financement</t>
  </si>
  <si>
    <t>Tasso nominale</t>
  </si>
  <si>
    <t>Durata</t>
  </si>
  <si>
    <t>Valore di riscatto</t>
  </si>
  <si>
    <t>1° canone maggiorato</t>
  </si>
  <si>
    <t>con assicurazione rate</t>
  </si>
  <si>
    <t>Prezzo di vendita</t>
  </si>
  <si>
    <t>Importo del credito</t>
  </si>
  <si>
    <t>Tasso effettivo</t>
  </si>
  <si>
    <t>senza assicurazione rate</t>
  </si>
  <si>
    <t>Egregio signor / Gentile signora, ...</t>
  </si>
  <si>
    <t>Tante grazie per la sua richiesta.</t>
  </si>
  <si>
    <t>In base alle sue informazioni siamo felici di poterle sottoporre la calcolazione desiderata.</t>
  </si>
  <si>
    <t>Base della calcolazione</t>
  </si>
  <si>
    <t>Finanziamento</t>
  </si>
  <si>
    <t>Per ulteriori domande siamo volentieri a sua disposizione.</t>
  </si>
  <si>
    <t>Distinti saluti</t>
  </si>
  <si>
    <t>per qualsiasi soluzione di finanziamento.</t>
  </si>
  <si>
    <t>Siamo a sua completa disposizione</t>
  </si>
  <si>
    <t xml:space="preserve">La concessione del credito è vietata se causa un sovraindebitamento del consumatore (conformemente alle disposizioni dell'art 3 LCSI). </t>
  </si>
  <si>
    <t>al mese</t>
  </si>
  <si>
    <t>Acconto</t>
  </si>
  <si>
    <t>Al mese</t>
  </si>
  <si>
    <t>Abbiate cura dei vostri clienti.</t>
  </si>
  <si>
    <t>Tél. 0800 800 040</t>
  </si>
  <si>
    <t>finanziamento di leasing.</t>
  </si>
  <si>
    <t xml:space="preserve">con ogni contratto di </t>
  </si>
  <si>
    <t>Offrite l'Assicurazione rate</t>
  </si>
  <si>
    <t>finanziamento.</t>
  </si>
  <si>
    <t>Grazie per aver scelto Cembra Money Bank.</t>
  </si>
  <si>
    <t>Round the answer 2 (Skip)</t>
  </si>
  <si>
    <t>Round the answer 2 (skip)</t>
  </si>
  <si>
    <t>(8.1% IVA incl.)</t>
  </si>
  <si>
    <t>Leasing mit 1. grosse Rate &amp; mit Restwert</t>
  </si>
  <si>
    <t>exkl VAT</t>
  </si>
  <si>
    <t>Objekt-Preis</t>
  </si>
  <si>
    <t>Monat</t>
  </si>
  <si>
    <t>Zinsanteil</t>
  </si>
  <si>
    <t>Amort.Anteil</t>
  </si>
  <si>
    <t>Rate</t>
  </si>
  <si>
    <t>Kumul Zins</t>
  </si>
  <si>
    <t>Kumul Amort</t>
  </si>
  <si>
    <t>Temp.RW</t>
  </si>
  <si>
    <t>Amortisation</t>
  </si>
  <si>
    <t>Zins</t>
  </si>
  <si>
    <t>TempRW</t>
  </si>
  <si>
    <t>Zubehör</t>
  </si>
  <si>
    <t>Basispreis</t>
  </si>
  <si>
    <t>Rabattbetrag (Fahrzeug &amp; Zubehör)</t>
  </si>
  <si>
    <t>Kalkulationsbasis</t>
  </si>
  <si>
    <t>Vertragsdauer</t>
  </si>
  <si>
    <t>Zinssatz (nominal)</t>
  </si>
  <si>
    <t>1.Rate</t>
  </si>
  <si>
    <t>Zinsanteil 1. Rate</t>
  </si>
  <si>
    <t>Amortisaitonsanteil 1. Rate</t>
  </si>
  <si>
    <t>Amortisationsanteil Restwert</t>
  </si>
  <si>
    <t>Zinsanteil Restwert</t>
  </si>
  <si>
    <t>Kalkulationsfaktor 1</t>
  </si>
  <si>
    <t>Kalkulationsfaktor 2</t>
  </si>
  <si>
    <t>Rate ab 2. Monat</t>
  </si>
  <si>
    <t>PPI Prämie</t>
  </si>
  <si>
    <t>Rate inkl. PPI</t>
  </si>
  <si>
    <t>Gesamtkosten</t>
  </si>
  <si>
    <t>Gesamtkosten p.A.</t>
  </si>
  <si>
    <t>Leasing ohne 1. grosse Rate &amp; mit Restwert</t>
  </si>
  <si>
    <t>excl. VAT</t>
  </si>
  <si>
    <t>Amort</t>
  </si>
  <si>
    <t>Finanzierung / Darlehen</t>
  </si>
  <si>
    <t>Effektivzins</t>
  </si>
  <si>
    <t>Zinssatz</t>
  </si>
  <si>
    <t>incl. PPI</t>
  </si>
  <si>
    <t>Leasing 0%</t>
  </si>
  <si>
    <t>"Il primo interesse leasing grande non deve superare il 50% del prezzo di vendita.</t>
  </si>
  <si>
    <t>*Tasso effettivo:</t>
  </si>
  <si>
    <t>v 03.2024</t>
  </si>
  <si>
    <t>Finanzierung</t>
  </si>
  <si>
    <t xml:space="preserve"> (*inkl. MwSt).</t>
  </si>
  <si>
    <t xml:space="preserve"> (*incl. IVA).</t>
  </si>
</sst>
</file>

<file path=xl/styles.xml><?xml version="1.0" encoding="utf-8"?>
<styleSheet xmlns="http://schemas.openxmlformats.org/spreadsheetml/2006/main">
  <numFmts count="6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SFr.&quot;#,##0_);\(&quot;SFr.&quot;#,##0\)"/>
    <numFmt numFmtId="179" formatCode="&quot;SFr.&quot;#,##0_);[Red]\(&quot;SFr.&quot;#,##0\)"/>
    <numFmt numFmtId="180" formatCode="&quot;SFr.&quot;#,##0.00_);\(&quot;SFr.&quot;#,##0.00\)"/>
    <numFmt numFmtId="181" formatCode="&quot;SFr.&quot;#,##0.00_);[Red]\(&quot;SFr.&quot;#,##0.00\)"/>
    <numFmt numFmtId="182" formatCode="_(&quot;SFr.&quot;* #,##0_);_(&quot;SFr.&quot;* \(#,##0\);_(&quot;SFr.&quot;* &quot;-&quot;_);_(@_)"/>
    <numFmt numFmtId="183" formatCode="_(&quot;SFr.&quot;* #,##0.00_);_(&quot;SFr.&quot;* \(#,##0.00\);_(&quot;SFr.&quot;* &quot;-&quot;??_);_(@_)"/>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quot;SFr.&quot;\ * #,##0.00_ ;_ &quot;SFr.&quot;\ * \-#,##0.00_ ;_ &quot;SFr.&quot;\ * &quot;-&quot;??_ ;_ @_ "/>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00"/>
    <numFmt numFmtId="199" formatCode="0.000000000000000"/>
    <numFmt numFmtId="200" formatCode="#,##0_ ;\-#,##0\ "/>
    <numFmt numFmtId="201" formatCode="#,##0.00_ ;\-#,##0.00\ "/>
    <numFmt numFmtId="202" formatCode="#,##0.000"/>
    <numFmt numFmtId="203" formatCode="_ * #,##0.0_ ;_ * \-#,##0.0_ ;_ * &quot;-&quot;??_ ;_ @_ "/>
    <numFmt numFmtId="204" formatCode="_ * #,##0_ ;_ * \-#,##0_ ;_ * &quot;-&quot;??_ ;_ @_ "/>
    <numFmt numFmtId="205" formatCode="#,##0.000_ ;\-#,##0.000\ "/>
    <numFmt numFmtId="206" formatCode="#,##0.0000_ ;\-#,##0.0000\ "/>
    <numFmt numFmtId="207" formatCode="[$CHF]\ #,##0.00;[$CHF]\ \-#,##0.00"/>
    <numFmt numFmtId="208" formatCode="[$CHF-1407]\ #,##0.00;[$CHF-1407]\ \-#,##0.00"/>
    <numFmt numFmtId="209" formatCode="_ [$CHF]\ * #,##0.00_ ;_ [$CHF]\ * \-#,##0.00_ ;_ [$CHF]\ * &quot;-&quot;??_ ;_ @_ "/>
    <numFmt numFmtId="210" formatCode="_ [$CHF]\ * #,##0.0_ ;_ [$CHF]\ * \-#,##0.0_ ;_ [$CHF]\ * &quot;-&quot;??_ ;_ @_ "/>
    <numFmt numFmtId="211" formatCode="_ [$CHF]\ * #,##0_ ;_ [$CHF]\ * \-#,##0_ ;_ [$CHF]\ * &quot;-&quot;??_ ;_ @_ "/>
    <numFmt numFmtId="212" formatCode="_ * #,##0.000_ ;_ * \-#,##0.000_ ;_ * &quot;-&quot;???_ ;_ @_ "/>
    <numFmt numFmtId="213" formatCode="_(* #,##0.000_);_(* \(#,##0.000\);_(* &quot;-&quot;???_);_(@_)"/>
    <numFmt numFmtId="214" formatCode="0.0"/>
    <numFmt numFmtId="215" formatCode="#,##0.0000"/>
    <numFmt numFmtId="216" formatCode="#,##0.00000"/>
    <numFmt numFmtId="217" formatCode="0.00000%"/>
    <numFmt numFmtId="218" formatCode="#,##0.0000000000"/>
  </numFmts>
  <fonts count="150">
    <font>
      <sz val="10"/>
      <name val="Arial"/>
      <family val="0"/>
    </font>
    <font>
      <b/>
      <sz val="10"/>
      <name val="Arial"/>
      <family val="2"/>
    </font>
    <font>
      <sz val="10"/>
      <color indexed="48"/>
      <name val="GE Inspira"/>
      <family val="2"/>
    </font>
    <font>
      <u val="single"/>
      <sz val="10"/>
      <color indexed="12"/>
      <name val="Arial"/>
      <family val="2"/>
    </font>
    <font>
      <u val="single"/>
      <sz val="10"/>
      <color indexed="36"/>
      <name val="Arial"/>
      <family val="2"/>
    </font>
    <font>
      <sz val="10"/>
      <name val="GE Inspira"/>
      <family val="2"/>
    </font>
    <font>
      <b/>
      <sz val="16"/>
      <name val="Arial"/>
      <family val="2"/>
    </font>
    <font>
      <b/>
      <sz val="10"/>
      <name val="Franklin Gothic Book"/>
      <family val="2"/>
    </font>
    <font>
      <b/>
      <u val="single"/>
      <sz val="11"/>
      <color indexed="48"/>
      <name val="Franklin Gothic Book"/>
      <family val="2"/>
    </font>
    <font>
      <b/>
      <sz val="10"/>
      <color indexed="48"/>
      <name val="Franklin Gothic Book"/>
      <family val="2"/>
    </font>
    <font>
      <b/>
      <sz val="11"/>
      <color indexed="48"/>
      <name val="Franklin Gothic Book"/>
      <family val="2"/>
    </font>
    <font>
      <sz val="10"/>
      <color indexed="48"/>
      <name val="Franklin Gothic Book"/>
      <family val="2"/>
    </font>
    <font>
      <sz val="10"/>
      <name val="Franklin Gothic Book"/>
      <family val="2"/>
    </font>
    <font>
      <sz val="11"/>
      <color indexed="48"/>
      <name val="Franklin Gothic Book"/>
      <family val="2"/>
    </font>
    <font>
      <sz val="10"/>
      <color indexed="10"/>
      <name val="Franklin Gothic Book"/>
      <family val="2"/>
    </font>
    <font>
      <i/>
      <sz val="8"/>
      <color indexed="48"/>
      <name val="Franklin Gothic Book"/>
      <family val="2"/>
    </font>
    <font>
      <sz val="11"/>
      <name val="Franklin Gothic Book"/>
      <family val="2"/>
    </font>
    <font>
      <sz val="36"/>
      <color indexed="48"/>
      <name val="Franklin Gothic Book"/>
      <family val="2"/>
    </font>
    <font>
      <b/>
      <sz val="10"/>
      <color indexed="9"/>
      <name val="Franklin Gothic Book"/>
      <family val="2"/>
    </font>
    <font>
      <b/>
      <sz val="11"/>
      <name val="Franklin Gothic Book"/>
      <family val="2"/>
    </font>
    <font>
      <b/>
      <sz val="12"/>
      <name val="Franklin Gothic Book"/>
      <family val="2"/>
    </font>
    <font>
      <b/>
      <sz val="12"/>
      <color indexed="48"/>
      <name val="Franklin Gothic Book"/>
      <family val="2"/>
    </font>
    <font>
      <b/>
      <i/>
      <sz val="10"/>
      <color indexed="48"/>
      <name val="Franklin Gothic Book"/>
      <family val="2"/>
    </font>
    <font>
      <sz val="12"/>
      <color indexed="48"/>
      <name val="Franklin Gothic Book"/>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56"/>
      <name val="Franklin Gothic Book"/>
      <family val="2"/>
    </font>
    <font>
      <b/>
      <u val="single"/>
      <sz val="11"/>
      <color indexed="56"/>
      <name val="Franklin Gothic Book"/>
      <family val="2"/>
    </font>
    <font>
      <b/>
      <sz val="32"/>
      <color indexed="56"/>
      <name val="Franklin Gothic Medium"/>
      <family val="2"/>
    </font>
    <font>
      <sz val="16"/>
      <color indexed="56"/>
      <name val="Franklin Gothic Medium"/>
      <family val="2"/>
    </font>
    <font>
      <b/>
      <sz val="11"/>
      <color indexed="56"/>
      <name val="Franklin Gothic Book"/>
      <family val="2"/>
    </font>
    <font>
      <sz val="10"/>
      <color indexed="56"/>
      <name val="Franklin Gothic Book"/>
      <family val="2"/>
    </font>
    <font>
      <sz val="11"/>
      <color indexed="9"/>
      <name val="Franklin Gothic Book"/>
      <family val="2"/>
    </font>
    <font>
      <b/>
      <sz val="11"/>
      <color indexed="9"/>
      <name val="Franklin Gothic Book"/>
      <family val="2"/>
    </font>
    <font>
      <sz val="10"/>
      <color indexed="9"/>
      <name val="Franklin Gothic Book"/>
      <family val="2"/>
    </font>
    <font>
      <sz val="11"/>
      <color indexed="56"/>
      <name val="Franklin Gothic Book"/>
      <family val="2"/>
    </font>
    <font>
      <sz val="14"/>
      <color indexed="56"/>
      <name val="Franklin Gothic Book"/>
      <family val="2"/>
    </font>
    <font>
      <b/>
      <sz val="14"/>
      <color indexed="56"/>
      <name val="Franklin Gothic Book"/>
      <family val="2"/>
    </font>
    <font>
      <i/>
      <sz val="16"/>
      <color indexed="56"/>
      <name val="Franklin Gothic Book"/>
      <family val="2"/>
    </font>
    <font>
      <i/>
      <sz val="8"/>
      <color indexed="56"/>
      <name val="Franklin Gothic Book"/>
      <family val="2"/>
    </font>
    <font>
      <sz val="12"/>
      <color indexed="56"/>
      <name val="Franklin Gothic Book"/>
      <family val="2"/>
    </font>
    <font>
      <b/>
      <i/>
      <sz val="14"/>
      <color indexed="56"/>
      <name val="Franklin Gothic Book"/>
      <family val="2"/>
    </font>
    <font>
      <sz val="14"/>
      <color indexed="9"/>
      <name val="Franklin Gothic Book"/>
      <family val="2"/>
    </font>
    <font>
      <sz val="36"/>
      <color indexed="56"/>
      <name val="Franklin Gothic Book"/>
      <family val="2"/>
    </font>
    <font>
      <i/>
      <sz val="14"/>
      <color indexed="56"/>
      <name val="Franklin Gothic Book"/>
      <family val="2"/>
    </font>
    <font>
      <sz val="8"/>
      <color indexed="56"/>
      <name val="Franklin Gothic Book"/>
      <family val="2"/>
    </font>
    <font>
      <b/>
      <sz val="12"/>
      <color indexed="56"/>
      <name val="Franklin Gothic Book"/>
      <family val="2"/>
    </font>
    <font>
      <b/>
      <i/>
      <sz val="10"/>
      <color indexed="56"/>
      <name val="Franklin Gothic Book"/>
      <family val="2"/>
    </font>
    <font>
      <sz val="14"/>
      <color indexed="56"/>
      <name val="Franklin Gothic Medium"/>
      <family val="2"/>
    </font>
    <font>
      <b/>
      <sz val="16"/>
      <color indexed="56"/>
      <name val="Franklin Gothic Book"/>
      <family val="2"/>
    </font>
    <font>
      <i/>
      <sz val="10"/>
      <color indexed="56"/>
      <name val="Franklin Gothic Book"/>
      <family val="2"/>
    </font>
    <font>
      <sz val="5"/>
      <color indexed="9"/>
      <name val="Franklin Gothic Book"/>
      <family val="2"/>
    </font>
    <font>
      <sz val="18"/>
      <color indexed="56"/>
      <name val="Franklin Gothic Medium"/>
      <family val="2"/>
    </font>
    <font>
      <sz val="10"/>
      <color indexed="22"/>
      <name val="Franklin Gothic Book"/>
      <family val="2"/>
    </font>
    <font>
      <sz val="9"/>
      <color indexed="56"/>
      <name val="Franklin Gothic Book"/>
      <family val="2"/>
    </font>
    <font>
      <sz val="7"/>
      <color indexed="56"/>
      <name val="Franklin Gothic Book"/>
      <family val="2"/>
    </font>
    <font>
      <b/>
      <sz val="100"/>
      <color indexed="56"/>
      <name val="Franklin Gothic Book"/>
      <family val="2"/>
    </font>
    <font>
      <sz val="11"/>
      <color indexed="22"/>
      <name val="Franklin Gothic Book"/>
      <family val="2"/>
    </font>
    <font>
      <sz val="8"/>
      <color indexed="23"/>
      <name val="Franklin Gothic Book"/>
      <family val="2"/>
    </font>
    <font>
      <sz val="8"/>
      <color indexed="22"/>
      <name val="Franklin Gothic Book"/>
      <family val="2"/>
    </font>
    <font>
      <sz val="10"/>
      <color indexed="55"/>
      <name val="Franklin Gothic Book"/>
      <family val="2"/>
    </font>
    <font>
      <sz val="9"/>
      <color indexed="22"/>
      <name val="Franklin Gothic Book"/>
      <family val="2"/>
    </font>
    <font>
      <b/>
      <sz val="16"/>
      <color indexed="22"/>
      <name val="Arial"/>
      <family val="2"/>
    </font>
    <font>
      <sz val="10"/>
      <color indexed="22"/>
      <name val="Arial"/>
      <family val="2"/>
    </font>
    <font>
      <b/>
      <sz val="10"/>
      <color indexed="22"/>
      <name val="Arial"/>
      <family val="2"/>
    </font>
    <font>
      <b/>
      <sz val="10"/>
      <color indexed="8"/>
      <name val="Calibri"/>
      <family val="2"/>
    </font>
    <font>
      <sz val="10"/>
      <color indexed="8"/>
      <name val="Calibri"/>
      <family val="2"/>
    </font>
    <font>
      <sz val="11"/>
      <name val="Calibri"/>
      <family val="2"/>
    </font>
    <font>
      <b/>
      <sz val="36"/>
      <color indexed="56"/>
      <name val="Franklin Gothic Book"/>
      <family val="2"/>
    </font>
    <font>
      <b/>
      <sz val="28"/>
      <color indexed="56"/>
      <name val="Franklin Gothic Book"/>
      <family val="2"/>
    </font>
    <font>
      <b/>
      <sz val="80"/>
      <color indexed="56"/>
      <name val="Franklin Gothic Book"/>
      <family val="2"/>
    </font>
    <font>
      <b/>
      <sz val="287"/>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4E7B"/>
      <name val="Franklin Gothic Book"/>
      <family val="2"/>
    </font>
    <font>
      <b/>
      <u val="single"/>
      <sz val="11"/>
      <color rgb="FF004E7B"/>
      <name val="Franklin Gothic Book"/>
      <family val="2"/>
    </font>
    <font>
      <b/>
      <sz val="32"/>
      <color rgb="FF004E7B"/>
      <name val="Franklin Gothic Medium"/>
      <family val="2"/>
    </font>
    <font>
      <sz val="16"/>
      <color rgb="FF004E7B"/>
      <name val="Franklin Gothic Medium"/>
      <family val="2"/>
    </font>
    <font>
      <b/>
      <sz val="11"/>
      <color rgb="FF004E7B"/>
      <name val="Franklin Gothic Book"/>
      <family val="2"/>
    </font>
    <font>
      <sz val="10"/>
      <color rgb="FF004E7B"/>
      <name val="Franklin Gothic Book"/>
      <family val="2"/>
    </font>
    <font>
      <sz val="11"/>
      <color theme="0"/>
      <name val="Franklin Gothic Book"/>
      <family val="2"/>
    </font>
    <font>
      <b/>
      <sz val="11"/>
      <color theme="0"/>
      <name val="Franklin Gothic Book"/>
      <family val="2"/>
    </font>
    <font>
      <b/>
      <sz val="10"/>
      <color theme="0"/>
      <name val="Franklin Gothic Book"/>
      <family val="2"/>
    </font>
    <font>
      <sz val="10"/>
      <color theme="0"/>
      <name val="Franklin Gothic Book"/>
      <family val="2"/>
    </font>
    <font>
      <sz val="11"/>
      <color rgb="FF004E7B"/>
      <name val="Franklin Gothic Book"/>
      <family val="2"/>
    </font>
    <font>
      <sz val="14"/>
      <color rgb="FF004E7B"/>
      <name val="Franklin Gothic Book"/>
      <family val="2"/>
    </font>
    <font>
      <b/>
      <sz val="14"/>
      <color rgb="FF004E7B"/>
      <name val="Franklin Gothic Book"/>
      <family val="2"/>
    </font>
    <font>
      <i/>
      <sz val="16"/>
      <color rgb="FF004E7B"/>
      <name val="Franklin Gothic Book"/>
      <family val="2"/>
    </font>
    <font>
      <i/>
      <sz val="8"/>
      <color rgb="FF004E7B"/>
      <name val="Franklin Gothic Book"/>
      <family val="2"/>
    </font>
    <font>
      <sz val="12"/>
      <color rgb="FF004E7B"/>
      <name val="Franklin Gothic Book"/>
      <family val="2"/>
    </font>
    <font>
      <b/>
      <i/>
      <sz val="14"/>
      <color rgb="FF004E7B"/>
      <name val="Franklin Gothic Book"/>
      <family val="2"/>
    </font>
    <font>
      <sz val="14"/>
      <color theme="0"/>
      <name val="Franklin Gothic Book"/>
      <family val="2"/>
    </font>
    <font>
      <sz val="36"/>
      <color rgb="FF004E7B"/>
      <name val="Franklin Gothic Book"/>
      <family val="2"/>
    </font>
    <font>
      <i/>
      <sz val="14"/>
      <color rgb="FF004E7B"/>
      <name val="Franklin Gothic Book"/>
      <family val="2"/>
    </font>
    <font>
      <sz val="8"/>
      <color rgb="FF004E7B"/>
      <name val="Franklin Gothic Book"/>
      <family val="2"/>
    </font>
    <font>
      <b/>
      <sz val="12"/>
      <color rgb="FF004E7B"/>
      <name val="Franklin Gothic Book"/>
      <family val="2"/>
    </font>
    <font>
      <b/>
      <i/>
      <sz val="10"/>
      <color rgb="FF004E7B"/>
      <name val="Franklin Gothic Book"/>
      <family val="2"/>
    </font>
    <font>
      <sz val="14"/>
      <color rgb="FF004E7B"/>
      <name val="Franklin Gothic Medium"/>
      <family val="2"/>
    </font>
    <font>
      <b/>
      <sz val="16"/>
      <color rgb="FF004E7B"/>
      <name val="Franklin Gothic Book"/>
      <family val="2"/>
    </font>
    <font>
      <i/>
      <sz val="10"/>
      <color rgb="FF004E7B"/>
      <name val="Franklin Gothic Book"/>
      <family val="2"/>
    </font>
    <font>
      <sz val="5"/>
      <color theme="0"/>
      <name val="Franklin Gothic Book"/>
      <family val="2"/>
    </font>
    <font>
      <sz val="18"/>
      <color rgb="FF004E7B"/>
      <name val="Franklin Gothic Medium"/>
      <family val="2"/>
    </font>
    <font>
      <sz val="10"/>
      <color rgb="FFC0C0C0"/>
      <name val="Franklin Gothic Book"/>
      <family val="2"/>
    </font>
    <font>
      <sz val="9"/>
      <color rgb="FF004E7B"/>
      <name val="Franklin Gothic Book"/>
      <family val="2"/>
    </font>
    <font>
      <sz val="7"/>
      <color rgb="FF004E7B"/>
      <name val="Franklin Gothic Book"/>
      <family val="2"/>
    </font>
    <font>
      <b/>
      <sz val="100"/>
      <color rgb="FF004E7B"/>
      <name val="Franklin Gothic Book"/>
      <family val="2"/>
    </font>
    <font>
      <sz val="11"/>
      <color rgb="FFC0C0C0"/>
      <name val="Franklin Gothic Book"/>
      <family val="2"/>
    </font>
    <font>
      <sz val="8"/>
      <color theme="1" tint="0.49998000264167786"/>
      <name val="Franklin Gothic Book"/>
      <family val="2"/>
    </font>
    <font>
      <sz val="8"/>
      <color theme="0" tint="-0.24997000396251678"/>
      <name val="Franklin Gothic Book"/>
      <family val="2"/>
    </font>
    <font>
      <sz val="10"/>
      <color theme="0" tint="-0.3499799966812134"/>
      <name val="Franklin Gothic Book"/>
      <family val="2"/>
    </font>
    <font>
      <sz val="9"/>
      <color rgb="FFC0C0C0"/>
      <name val="Franklin Gothic Book"/>
      <family val="2"/>
    </font>
    <font>
      <b/>
      <sz val="16"/>
      <color theme="0" tint="-0.24997000396251678"/>
      <name val="Arial"/>
      <family val="2"/>
    </font>
    <font>
      <sz val="10"/>
      <color theme="0" tint="-0.24997000396251678"/>
      <name val="Arial"/>
      <family val="2"/>
    </font>
    <font>
      <b/>
      <sz val="10"/>
      <color theme="0" tint="-0.24997000396251678"/>
      <name val="Arial"/>
      <family val="2"/>
    </font>
    <font>
      <b/>
      <sz val="10"/>
      <color theme="1"/>
      <name val="Calibri"/>
      <family val="2"/>
    </font>
    <font>
      <sz val="10"/>
      <color theme="1"/>
      <name val="Calibri"/>
      <family val="2"/>
    </font>
    <font>
      <b/>
      <sz val="36"/>
      <color rgb="FF004E7B"/>
      <name val="Franklin Gothic Book"/>
      <family val="2"/>
    </font>
    <font>
      <b/>
      <sz val="28"/>
      <color rgb="FF004E7B"/>
      <name val="Franklin Gothic Book"/>
      <family val="2"/>
    </font>
    <font>
      <b/>
      <sz val="80"/>
      <color rgb="FF004E7B"/>
      <name val="Franklin Gothic Book"/>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53"/>
        <bgColor indexed="64"/>
      </patternFill>
    </fill>
    <fill>
      <patternFill patternType="solid">
        <fgColor indexed="11"/>
        <bgColor indexed="64"/>
      </patternFill>
    </fill>
    <fill>
      <patternFill patternType="solid">
        <fgColor theme="0"/>
        <bgColor indexed="64"/>
      </patternFill>
    </fill>
    <fill>
      <patternFill patternType="solid">
        <fgColor indexed="31"/>
        <bgColor indexed="64"/>
      </patternFill>
    </fill>
    <fill>
      <patternFill patternType="solid">
        <fgColor indexed="22"/>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color indexed="22"/>
      </left>
      <right style="thin">
        <color indexed="22"/>
      </right>
      <top style="medium">
        <color indexed="22"/>
      </top>
      <bottom style="thin">
        <color indexed="22"/>
      </bottom>
    </border>
    <border>
      <left style="thin">
        <color indexed="23"/>
      </left>
      <right style="thick">
        <color indexed="23"/>
      </right>
      <top style="thin">
        <color indexed="23"/>
      </top>
      <bottom style="thick">
        <color indexed="23"/>
      </bottom>
    </border>
    <border>
      <left>
        <color indexed="63"/>
      </left>
      <right>
        <color indexed="63"/>
      </right>
      <top>
        <color indexed="63"/>
      </top>
      <bottom style="thin"/>
    </border>
    <border>
      <left/>
      <right/>
      <top style="thin"/>
      <bottom style="thin"/>
    </border>
    <border>
      <left/>
      <right/>
      <top style="thin"/>
      <bottom/>
    </border>
    <border>
      <left>
        <color indexed="63"/>
      </left>
      <right>
        <color indexed="63"/>
      </right>
      <top style="thick">
        <color indexed="23"/>
      </top>
      <bottom>
        <color indexed="63"/>
      </bottom>
    </border>
    <border>
      <left style="thin">
        <color indexed="23"/>
      </left>
      <right style="thick">
        <color indexed="23"/>
      </right>
      <top style="thin">
        <color indexed="23"/>
      </top>
      <bottom>
        <color indexed="63"/>
      </bottom>
    </border>
    <border>
      <left style="thin"/>
      <right style="thin"/>
      <top style="thin"/>
      <bottom style="thin"/>
    </border>
    <border>
      <left style="thin">
        <color indexed="23"/>
      </left>
      <right style="thick">
        <color indexed="23"/>
      </right>
      <top>
        <color indexed="63"/>
      </top>
      <bottom style="thick">
        <color indexed="23"/>
      </bottom>
    </border>
    <border>
      <left style="thin"/>
      <right/>
      <top/>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0" fontId="2" fillId="29" borderId="0" applyFont="0" applyFill="0" applyBorder="0" applyProtection="0">
      <alignment horizontal="right"/>
    </xf>
    <xf numFmtId="188" fontId="0" fillId="0" borderId="0" applyFont="0" applyFill="0" applyBorder="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98" fillId="31" borderId="1" applyNumberFormat="0" applyAlignment="0" applyProtection="0"/>
    <xf numFmtId="0" fontId="99" fillId="0" borderId="6" applyNumberFormat="0" applyFill="0" applyAlignment="0" applyProtection="0"/>
    <xf numFmtId="0" fontId="100" fillId="32" borderId="0" applyNumberFormat="0" applyBorder="0" applyAlignment="0" applyProtection="0"/>
    <xf numFmtId="0" fontId="0" fillId="0" borderId="0">
      <alignment/>
      <protection/>
    </xf>
    <xf numFmtId="0" fontId="88" fillId="0" borderId="0">
      <alignment/>
      <protection/>
    </xf>
    <xf numFmtId="0" fontId="88" fillId="0" borderId="0">
      <alignment/>
      <protection/>
    </xf>
    <xf numFmtId="0" fontId="5" fillId="0" borderId="0">
      <alignment/>
      <protection/>
    </xf>
    <xf numFmtId="0" fontId="0" fillId="33"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343">
    <xf numFmtId="0" fontId="0" fillId="0" borderId="0" xfId="0" applyAlignment="1">
      <alignment/>
    </xf>
    <xf numFmtId="0" fontId="1" fillId="0" borderId="10" xfId="0" applyFont="1" applyBorder="1" applyAlignment="1">
      <alignment/>
    </xf>
    <xf numFmtId="0" fontId="1" fillId="29" borderId="10" xfId="0" applyFont="1" applyFill="1" applyBorder="1" applyAlignment="1">
      <alignment/>
    </xf>
    <xf numFmtId="0" fontId="0" fillId="29" borderId="0" xfId="0" applyFill="1" applyAlignment="1">
      <alignment/>
    </xf>
    <xf numFmtId="0" fontId="0" fillId="29" borderId="11" xfId="0" applyFill="1" applyBorder="1" applyAlignment="1">
      <alignment/>
    </xf>
    <xf numFmtId="0" fontId="0" fillId="29" borderId="12" xfId="0" applyFill="1" applyBorder="1" applyAlignment="1">
      <alignment/>
    </xf>
    <xf numFmtId="0" fontId="6" fillId="29" borderId="10" xfId="0" applyFont="1" applyFill="1" applyBorder="1" applyAlignment="1">
      <alignment/>
    </xf>
    <xf numFmtId="0" fontId="0" fillId="29" borderId="13" xfId="0" applyFill="1" applyBorder="1" applyAlignment="1">
      <alignment/>
    </xf>
    <xf numFmtId="0" fontId="0" fillId="29" borderId="10" xfId="0" applyFill="1" applyBorder="1" applyAlignment="1">
      <alignment/>
    </xf>
    <xf numFmtId="0" fontId="0" fillId="34" borderId="10" xfId="0" applyFill="1" applyBorder="1" applyAlignment="1">
      <alignment/>
    </xf>
    <xf numFmtId="10" fontId="0" fillId="34" borderId="13" xfId="0" applyNumberFormat="1" applyFill="1" applyBorder="1" applyAlignment="1">
      <alignment/>
    </xf>
    <xf numFmtId="3" fontId="0" fillId="35" borderId="14" xfId="0" applyNumberFormat="1" applyFill="1" applyBorder="1" applyAlignment="1">
      <alignment/>
    </xf>
    <xf numFmtId="10" fontId="1" fillId="35" borderId="14" xfId="0" applyNumberFormat="1" applyFont="1" applyFill="1" applyBorder="1" applyAlignment="1">
      <alignment/>
    </xf>
    <xf numFmtId="204" fontId="0" fillId="29" borderId="0" xfId="47" applyNumberFormat="1" applyFill="1" applyAlignment="1">
      <alignment/>
    </xf>
    <xf numFmtId="204" fontId="0" fillId="34" borderId="10" xfId="47" applyNumberFormat="1" applyFill="1" applyBorder="1" applyAlignment="1">
      <alignment/>
    </xf>
    <xf numFmtId="204" fontId="0" fillId="35" borderId="14" xfId="47" applyNumberFormat="1" applyFill="1" applyBorder="1" applyAlignment="1">
      <alignment/>
    </xf>
    <xf numFmtId="204" fontId="0" fillId="34" borderId="13" xfId="47" applyNumberFormat="1" applyFill="1" applyBorder="1" applyAlignment="1">
      <alignment/>
    </xf>
    <xf numFmtId="204" fontId="0" fillId="35" borderId="15" xfId="47" applyNumberFormat="1" applyFill="1" applyBorder="1" applyAlignment="1">
      <alignment/>
    </xf>
    <xf numFmtId="0" fontId="0" fillId="29" borderId="10" xfId="0" applyFill="1" applyBorder="1" applyAlignment="1">
      <alignment wrapText="1"/>
    </xf>
    <xf numFmtId="2" fontId="0" fillId="29" borderId="13" xfId="0" applyNumberFormat="1" applyFill="1" applyBorder="1" applyAlignment="1">
      <alignment/>
    </xf>
    <xf numFmtId="201" fontId="1" fillId="29" borderId="0" xfId="47" applyFont="1" applyFill="1" applyAlignment="1">
      <alignment/>
    </xf>
    <xf numFmtId="201" fontId="1" fillId="29" borderId="10" xfId="47" applyFont="1" applyFill="1" applyBorder="1" applyAlignment="1">
      <alignment horizontal="left"/>
    </xf>
    <xf numFmtId="201" fontId="1" fillId="29" borderId="13" xfId="47" applyFont="1" applyFill="1" applyBorder="1" applyAlignment="1">
      <alignment/>
    </xf>
    <xf numFmtId="43" fontId="1" fillId="29" borderId="13" xfId="0" applyNumberFormat="1" applyFont="1" applyFill="1" applyBorder="1" applyAlignment="1">
      <alignment/>
    </xf>
    <xf numFmtId="43" fontId="0" fillId="29" borderId="13" xfId="0" applyNumberFormat="1" applyFill="1" applyBorder="1" applyAlignment="1">
      <alignment/>
    </xf>
    <xf numFmtId="10" fontId="0" fillId="29" borderId="0" xfId="68" applyNumberFormat="1" applyFill="1" applyBorder="1" applyAlignment="1">
      <alignment/>
    </xf>
    <xf numFmtId="0" fontId="0" fillId="29" borderId="16" xfId="0" applyFill="1" applyBorder="1" applyAlignment="1">
      <alignment/>
    </xf>
    <xf numFmtId="0" fontId="0" fillId="29" borderId="17" xfId="0" applyFill="1" applyBorder="1" applyAlignment="1">
      <alignment/>
    </xf>
    <xf numFmtId="189" fontId="0" fillId="29" borderId="0" xfId="0" applyNumberFormat="1" applyFill="1" applyAlignment="1">
      <alignment/>
    </xf>
    <xf numFmtId="189" fontId="0" fillId="29" borderId="12" xfId="0" applyNumberFormat="1" applyFill="1" applyBorder="1" applyAlignment="1">
      <alignment/>
    </xf>
    <xf numFmtId="10" fontId="0" fillId="29" borderId="13" xfId="68" applyNumberFormat="1" applyFill="1" applyBorder="1" applyAlignment="1">
      <alignment/>
    </xf>
    <xf numFmtId="10" fontId="0" fillId="29" borderId="10" xfId="68" applyNumberFormat="1" applyFill="1" applyBorder="1" applyAlignment="1">
      <alignment/>
    </xf>
    <xf numFmtId="43" fontId="0" fillId="29" borderId="13" xfId="47" applyNumberFormat="1" applyFill="1" applyBorder="1" applyAlignment="1">
      <alignment/>
    </xf>
    <xf numFmtId="204" fontId="0" fillId="36" borderId="13" xfId="47" applyNumberFormat="1" applyFill="1" applyBorder="1" applyAlignment="1">
      <alignment/>
    </xf>
    <xf numFmtId="201" fontId="0" fillId="34" borderId="13" xfId="47" applyFill="1" applyBorder="1" applyAlignment="1">
      <alignment/>
    </xf>
    <xf numFmtId="10" fontId="0" fillId="37" borderId="13" xfId="0" applyNumberFormat="1" applyFill="1" applyBorder="1" applyAlignment="1">
      <alignment/>
    </xf>
    <xf numFmtId="10" fontId="0" fillId="37" borderId="18" xfId="0" applyNumberFormat="1" applyFill="1" applyBorder="1" applyAlignment="1">
      <alignment/>
    </xf>
    <xf numFmtId="202" fontId="0" fillId="37" borderId="13" xfId="0" applyNumberFormat="1" applyFill="1" applyBorder="1" applyAlignment="1">
      <alignment/>
    </xf>
    <xf numFmtId="2" fontId="0" fillId="37" borderId="13" xfId="0" applyNumberFormat="1" applyFill="1" applyBorder="1" applyAlignment="1">
      <alignment/>
    </xf>
    <xf numFmtId="204" fontId="0" fillId="29" borderId="13" xfId="0" applyNumberFormat="1" applyFill="1" applyBorder="1" applyAlignment="1">
      <alignment/>
    </xf>
    <xf numFmtId="43" fontId="0" fillId="37" borderId="13" xfId="0" applyNumberFormat="1" applyFill="1" applyBorder="1" applyAlignment="1">
      <alignment/>
    </xf>
    <xf numFmtId="0" fontId="105" fillId="38" borderId="0" xfId="0" applyFont="1" applyFill="1" applyAlignment="1" applyProtection="1">
      <alignment/>
      <protection hidden="1"/>
    </xf>
    <xf numFmtId="0" fontId="105" fillId="38" borderId="0" xfId="0" applyFont="1" applyFill="1" applyBorder="1" applyAlignment="1" applyProtection="1">
      <alignment/>
      <protection hidden="1"/>
    </xf>
    <xf numFmtId="0" fontId="106" fillId="38" borderId="0" xfId="0" applyFont="1" applyFill="1" applyBorder="1" applyAlignment="1" applyProtection="1">
      <alignment/>
      <protection hidden="1"/>
    </xf>
    <xf numFmtId="0" fontId="105" fillId="29" borderId="0" xfId="0" applyFont="1" applyFill="1" applyBorder="1" applyAlignment="1" applyProtection="1">
      <alignment/>
      <protection hidden="1"/>
    </xf>
    <xf numFmtId="0" fontId="105" fillId="29" borderId="0" xfId="0" applyFont="1" applyFill="1" applyAlignment="1" applyProtection="1">
      <alignment/>
      <protection hidden="1"/>
    </xf>
    <xf numFmtId="0" fontId="107" fillId="38" borderId="0" xfId="0" applyFont="1" applyFill="1" applyBorder="1" applyAlignment="1" applyProtection="1">
      <alignment vertical="center"/>
      <protection hidden="1"/>
    </xf>
    <xf numFmtId="0" fontId="105" fillId="38" borderId="0" xfId="0" applyFont="1" applyFill="1" applyBorder="1" applyAlignment="1" applyProtection="1">
      <alignment vertical="center"/>
      <protection hidden="1"/>
    </xf>
    <xf numFmtId="0" fontId="108" fillId="0" borderId="0" xfId="0" applyFont="1" applyAlignment="1">
      <alignment horizontal="right" vertical="center"/>
    </xf>
    <xf numFmtId="0" fontId="105" fillId="38" borderId="0" xfId="0" applyFont="1" applyFill="1" applyAlignment="1" applyProtection="1">
      <alignment vertical="center"/>
      <protection hidden="1"/>
    </xf>
    <xf numFmtId="0" fontId="106" fillId="38" borderId="0" xfId="0" applyFont="1" applyFill="1" applyBorder="1" applyAlignment="1" applyProtection="1">
      <alignment vertical="center"/>
      <protection hidden="1"/>
    </xf>
    <xf numFmtId="0" fontId="109" fillId="38" borderId="0" xfId="0" applyFont="1" applyFill="1" applyBorder="1" applyAlignment="1" applyProtection="1">
      <alignment vertical="center"/>
      <protection hidden="1"/>
    </xf>
    <xf numFmtId="0" fontId="110" fillId="38" borderId="0" xfId="0" applyFont="1" applyFill="1" applyBorder="1" applyAlignment="1" applyProtection="1">
      <alignment vertical="center"/>
      <protection hidden="1"/>
    </xf>
    <xf numFmtId="0" fontId="111" fillId="38" borderId="0" xfId="0" applyFont="1" applyFill="1" applyBorder="1" applyAlignment="1" applyProtection="1">
      <alignment vertical="center"/>
      <protection hidden="1"/>
    </xf>
    <xf numFmtId="0" fontId="112" fillId="38" borderId="0" xfId="0" applyFont="1" applyFill="1" applyBorder="1" applyAlignment="1" applyProtection="1">
      <alignment vertical="center"/>
      <protection hidden="1"/>
    </xf>
    <xf numFmtId="0" fontId="113" fillId="38" borderId="0" xfId="0" applyFont="1" applyFill="1" applyBorder="1" applyAlignment="1" applyProtection="1">
      <alignment vertical="center"/>
      <protection hidden="1"/>
    </xf>
    <xf numFmtId="0" fontId="114" fillId="38" borderId="0" xfId="0" applyFont="1" applyFill="1" applyBorder="1" applyAlignment="1" applyProtection="1">
      <alignment vertical="center"/>
      <protection hidden="1"/>
    </xf>
    <xf numFmtId="0" fontId="111" fillId="38" borderId="0" xfId="0" applyNumberFormat="1" applyFont="1" applyFill="1" applyBorder="1" applyAlignment="1" applyProtection="1">
      <alignment horizontal="left" vertical="center"/>
      <protection hidden="1"/>
    </xf>
    <xf numFmtId="0" fontId="115" fillId="38" borderId="0" xfId="0" applyNumberFormat="1" applyFont="1" applyFill="1" applyBorder="1" applyAlignment="1" applyProtection="1">
      <alignment horizontal="centerContinuous" vertical="center"/>
      <protection hidden="1"/>
    </xf>
    <xf numFmtId="0" fontId="115" fillId="38" borderId="0" xfId="0" applyNumberFormat="1" applyFont="1" applyFill="1" applyBorder="1" applyAlignment="1" applyProtection="1">
      <alignment horizontal="center" vertical="center"/>
      <protection hidden="1"/>
    </xf>
    <xf numFmtId="0" fontId="110" fillId="38" borderId="0" xfId="0" applyFont="1" applyFill="1" applyBorder="1" applyAlignment="1" applyProtection="1">
      <alignment horizontal="center"/>
      <protection hidden="1"/>
    </xf>
    <xf numFmtId="0" fontId="114" fillId="38" borderId="0" xfId="0" applyFont="1" applyFill="1" applyBorder="1" applyAlignment="1" applyProtection="1">
      <alignment/>
      <protection hidden="1"/>
    </xf>
    <xf numFmtId="0" fontId="110" fillId="38" borderId="0" xfId="0" applyFont="1" applyFill="1" applyBorder="1" applyAlignment="1" applyProtection="1">
      <alignment/>
      <protection hidden="1"/>
    </xf>
    <xf numFmtId="189" fontId="110" fillId="38" borderId="0" xfId="0" applyNumberFormat="1" applyFont="1" applyFill="1" applyBorder="1" applyAlignment="1" applyProtection="1">
      <alignment/>
      <protection hidden="1"/>
    </xf>
    <xf numFmtId="0" fontId="116" fillId="29" borderId="0" xfId="0" applyFont="1" applyFill="1" applyBorder="1" applyAlignment="1" applyProtection="1">
      <alignment horizontal="left" vertical="center"/>
      <protection hidden="1"/>
    </xf>
    <xf numFmtId="0" fontId="117" fillId="29" borderId="0" xfId="0" applyFont="1" applyFill="1" applyBorder="1" applyAlignment="1" applyProtection="1">
      <alignment vertical="center"/>
      <protection hidden="1"/>
    </xf>
    <xf numFmtId="0" fontId="116" fillId="29" borderId="0" xfId="0" applyFont="1" applyFill="1" applyBorder="1" applyAlignment="1" applyProtection="1">
      <alignment vertical="center"/>
      <protection hidden="1"/>
    </xf>
    <xf numFmtId="3" fontId="117" fillId="29" borderId="19" xfId="42" applyNumberFormat="1" applyFont="1" applyFill="1" applyBorder="1" applyAlignment="1" applyProtection="1">
      <alignment horizontal="center" vertical="center"/>
      <protection locked="0"/>
    </xf>
    <xf numFmtId="0" fontId="108" fillId="29" borderId="0" xfId="0" applyFont="1" applyFill="1" applyBorder="1" applyAlignment="1" applyProtection="1">
      <alignment vertical="center"/>
      <protection hidden="1"/>
    </xf>
    <xf numFmtId="0" fontId="118" fillId="29" borderId="0" xfId="0" applyFont="1" applyFill="1" applyBorder="1" applyAlignment="1" applyProtection="1">
      <alignment/>
      <protection hidden="1"/>
    </xf>
    <xf numFmtId="0" fontId="119" fillId="29" borderId="0" xfId="0" applyFont="1" applyFill="1" applyBorder="1" applyAlignment="1" applyProtection="1">
      <alignment/>
      <protection hidden="1"/>
    </xf>
    <xf numFmtId="0" fontId="119" fillId="0" borderId="0" xfId="0" applyFont="1" applyFill="1" applyBorder="1" applyAlignment="1" applyProtection="1">
      <alignment/>
      <protection hidden="1"/>
    </xf>
    <xf numFmtId="0" fontId="117" fillId="29" borderId="0" xfId="0" applyFont="1" applyFill="1" applyBorder="1" applyAlignment="1" applyProtection="1">
      <alignment horizontal="left" vertical="center"/>
      <protection hidden="1"/>
    </xf>
    <xf numFmtId="0" fontId="116" fillId="29" borderId="0" xfId="0" applyFont="1" applyFill="1" applyBorder="1" applyAlignment="1" applyProtection="1">
      <alignment horizontal="center" vertical="center"/>
      <protection hidden="1"/>
    </xf>
    <xf numFmtId="0" fontId="116" fillId="29" borderId="0" xfId="0" applyFont="1" applyFill="1" applyBorder="1" applyAlignment="1" applyProtection="1">
      <alignment/>
      <protection hidden="1"/>
    </xf>
    <xf numFmtId="0" fontId="110" fillId="29" borderId="0" xfId="0" applyFont="1" applyFill="1" applyBorder="1" applyAlignment="1" applyProtection="1">
      <alignment/>
      <protection hidden="1"/>
    </xf>
    <xf numFmtId="0" fontId="110" fillId="0" borderId="0" xfId="0" applyFont="1" applyFill="1" applyBorder="1" applyAlignment="1" applyProtection="1">
      <alignment/>
      <protection hidden="1"/>
    </xf>
    <xf numFmtId="10" fontId="117" fillId="29" borderId="19" xfId="68" applyNumberFormat="1" applyFont="1" applyFill="1" applyBorder="1" applyAlignment="1" applyProtection="1">
      <alignment horizontal="center" vertical="center"/>
      <protection locked="0"/>
    </xf>
    <xf numFmtId="0" fontId="117" fillId="29" borderId="0" xfId="0" applyFont="1" applyFill="1" applyBorder="1" applyAlignment="1" applyProtection="1">
      <alignment/>
      <protection hidden="1"/>
    </xf>
    <xf numFmtId="0" fontId="116" fillId="29" borderId="0" xfId="0" applyFont="1" applyFill="1" applyBorder="1" applyAlignment="1" applyProtection="1">
      <alignment wrapText="1"/>
      <protection hidden="1"/>
    </xf>
    <xf numFmtId="0" fontId="116" fillId="29" borderId="0" xfId="0" applyFont="1" applyFill="1" applyBorder="1" applyAlignment="1" applyProtection="1">
      <alignment horizontal="right" vertical="center"/>
      <protection hidden="1"/>
    </xf>
    <xf numFmtId="4" fontId="117" fillId="39" borderId="19" xfId="49" applyNumberFormat="1" applyFont="1" applyFill="1" applyBorder="1" applyAlignment="1" applyProtection="1">
      <alignment horizontal="center" vertical="center"/>
      <protection hidden="1"/>
    </xf>
    <xf numFmtId="0" fontId="120" fillId="29" borderId="0" xfId="0" applyFont="1" applyFill="1" applyBorder="1" applyAlignment="1" applyProtection="1">
      <alignment/>
      <protection hidden="1"/>
    </xf>
    <xf numFmtId="2" fontId="109" fillId="29" borderId="0" xfId="0" applyNumberFormat="1" applyFont="1" applyFill="1" applyBorder="1" applyAlignment="1" applyProtection="1">
      <alignment vertical="center"/>
      <protection hidden="1"/>
    </xf>
    <xf numFmtId="0" fontId="121" fillId="29" borderId="0" xfId="0" applyFont="1" applyFill="1" applyBorder="1" applyAlignment="1" applyProtection="1">
      <alignment vertical="center"/>
      <protection hidden="1"/>
    </xf>
    <xf numFmtId="0" fontId="117" fillId="29" borderId="0" xfId="0" applyFont="1" applyFill="1" applyAlignment="1" applyProtection="1">
      <alignment horizontal="right"/>
      <protection hidden="1"/>
    </xf>
    <xf numFmtId="0" fontId="122" fillId="29" borderId="0" xfId="49" applyNumberFormat="1" applyFont="1" applyFill="1" applyBorder="1" applyProtection="1">
      <alignment horizontal="right"/>
      <protection hidden="1"/>
    </xf>
    <xf numFmtId="0" fontId="117" fillId="29" borderId="19" xfId="0" applyNumberFormat="1" applyFont="1" applyFill="1" applyBorder="1" applyAlignment="1" applyProtection="1">
      <alignment horizontal="center" vertical="center"/>
      <protection locked="0"/>
    </xf>
    <xf numFmtId="0" fontId="123" fillId="29" borderId="0" xfId="0" applyFont="1" applyFill="1" applyBorder="1" applyAlignment="1" applyProtection="1">
      <alignment/>
      <protection hidden="1"/>
    </xf>
    <xf numFmtId="199" fontId="110" fillId="29" borderId="0" xfId="0" applyNumberFormat="1" applyFont="1" applyFill="1" applyBorder="1" applyAlignment="1" applyProtection="1">
      <alignment/>
      <protection hidden="1"/>
    </xf>
    <xf numFmtId="0" fontId="116" fillId="38" borderId="0" xfId="0" applyFont="1" applyFill="1" applyBorder="1" applyAlignment="1" applyProtection="1">
      <alignment/>
      <protection hidden="1"/>
    </xf>
    <xf numFmtId="43" fontId="115" fillId="0" borderId="0" xfId="42" applyFont="1" applyFill="1" applyBorder="1" applyAlignment="1" applyProtection="1">
      <alignment horizontal="right"/>
      <protection hidden="1"/>
    </xf>
    <xf numFmtId="0" fontId="124" fillId="38" borderId="0" xfId="0" applyFont="1" applyFill="1" applyBorder="1" applyAlignment="1" applyProtection="1">
      <alignment/>
      <protection hidden="1"/>
    </xf>
    <xf numFmtId="43" fontId="116" fillId="29" borderId="0" xfId="42" applyNumberFormat="1" applyFont="1" applyFill="1" applyBorder="1" applyAlignment="1" applyProtection="1">
      <alignment horizontal="center" vertical="center"/>
      <protection hidden="1"/>
    </xf>
    <xf numFmtId="43" fontId="105" fillId="0" borderId="0" xfId="42" applyFont="1" applyFill="1" applyBorder="1" applyAlignment="1" applyProtection="1">
      <alignment horizontal="right"/>
      <protection hidden="1"/>
    </xf>
    <xf numFmtId="189" fontId="116" fillId="38" borderId="0" xfId="0" applyNumberFormat="1" applyFont="1" applyFill="1" applyBorder="1" applyAlignment="1" applyProtection="1">
      <alignment vertical="center"/>
      <protection hidden="1"/>
    </xf>
    <xf numFmtId="189" fontId="115" fillId="29" borderId="0" xfId="0" applyNumberFormat="1" applyFont="1" applyFill="1" applyBorder="1" applyAlignment="1" applyProtection="1">
      <alignment vertical="center"/>
      <protection hidden="1"/>
    </xf>
    <xf numFmtId="2" fontId="117" fillId="29" borderId="0" xfId="0" applyNumberFormat="1" applyFont="1" applyFill="1" applyBorder="1" applyAlignment="1" applyProtection="1">
      <alignment horizontal="center" vertical="center"/>
      <protection hidden="1"/>
    </xf>
    <xf numFmtId="0" fontId="117" fillId="29" borderId="0" xfId="0" applyFont="1" applyFill="1" applyBorder="1" applyAlignment="1" applyProtection="1">
      <alignment horizontal="center" vertical="center"/>
      <protection hidden="1"/>
    </xf>
    <xf numFmtId="0" fontId="117" fillId="38" borderId="0" xfId="0" applyFont="1" applyFill="1" applyBorder="1" applyAlignment="1" applyProtection="1">
      <alignment horizontal="center" vertical="center"/>
      <protection hidden="1"/>
    </xf>
    <xf numFmtId="0" fontId="105" fillId="29" borderId="0" xfId="0" applyFont="1" applyFill="1" applyBorder="1" applyAlignment="1" applyProtection="1">
      <alignment horizontal="center" vertical="center"/>
      <protection hidden="1"/>
    </xf>
    <xf numFmtId="0" fontId="117" fillId="29" borderId="0" xfId="0" applyFont="1" applyFill="1" applyAlignment="1" applyProtection="1">
      <alignment/>
      <protection hidden="1"/>
    </xf>
    <xf numFmtId="0" fontId="105" fillId="38" borderId="0" xfId="0" applyFont="1" applyFill="1" applyBorder="1" applyAlignment="1" applyProtection="1">
      <alignment horizontal="center" vertical="center"/>
      <protection hidden="1"/>
    </xf>
    <xf numFmtId="0" fontId="109" fillId="29" borderId="0" xfId="0" applyFont="1" applyFill="1" applyBorder="1" applyAlignment="1" applyProtection="1">
      <alignment vertical="center"/>
      <protection hidden="1"/>
    </xf>
    <xf numFmtId="0" fontId="105" fillId="29" borderId="0" xfId="0" applyFont="1" applyFill="1" applyBorder="1" applyAlignment="1" applyProtection="1">
      <alignment vertical="center"/>
      <protection hidden="1"/>
    </xf>
    <xf numFmtId="0" fontId="109" fillId="29" borderId="0" xfId="0" applyFont="1" applyFill="1" applyBorder="1" applyAlignment="1" applyProtection="1">
      <alignment horizontal="center" vertical="center"/>
      <protection hidden="1"/>
    </xf>
    <xf numFmtId="0" fontId="116" fillId="38" borderId="0" xfId="0" applyFont="1" applyFill="1" applyBorder="1" applyAlignment="1" applyProtection="1">
      <alignment vertical="center"/>
      <protection hidden="1"/>
    </xf>
    <xf numFmtId="0" fontId="119" fillId="38" borderId="0" xfId="0" applyFont="1" applyFill="1" applyBorder="1" applyAlignment="1" applyProtection="1">
      <alignment/>
      <protection hidden="1"/>
    </xf>
    <xf numFmtId="0" fontId="125" fillId="29" borderId="0" xfId="0" applyFont="1" applyFill="1" applyBorder="1" applyAlignment="1" applyProtection="1">
      <alignment horizontal="left"/>
      <protection hidden="1"/>
    </xf>
    <xf numFmtId="10" fontId="125" fillId="29" borderId="0" xfId="68" applyNumberFormat="1" applyFont="1" applyFill="1" applyBorder="1" applyAlignment="1" applyProtection="1">
      <alignment horizontal="center"/>
      <protection hidden="1"/>
    </xf>
    <xf numFmtId="43" fontId="119" fillId="0" borderId="0" xfId="42" applyFont="1" applyFill="1" applyBorder="1" applyAlignment="1" applyProtection="1">
      <alignment horizontal="right"/>
      <protection hidden="1"/>
    </xf>
    <xf numFmtId="189" fontId="117" fillId="38" borderId="0" xfId="0" applyNumberFormat="1" applyFont="1" applyFill="1" applyBorder="1" applyAlignment="1" applyProtection="1">
      <alignment vertical="center"/>
      <protection hidden="1"/>
    </xf>
    <xf numFmtId="189" fontId="109" fillId="38" borderId="0" xfId="0" applyNumberFormat="1" applyFont="1" applyFill="1" applyBorder="1" applyAlignment="1" applyProtection="1">
      <alignment vertical="center"/>
      <protection hidden="1"/>
    </xf>
    <xf numFmtId="189" fontId="115" fillId="38" borderId="0" xfId="0" applyNumberFormat="1" applyFont="1" applyFill="1" applyBorder="1" applyAlignment="1" applyProtection="1">
      <alignment vertical="center"/>
      <protection hidden="1"/>
    </xf>
    <xf numFmtId="0" fontId="105" fillId="0" borderId="0" xfId="0" applyFont="1" applyFill="1" applyAlignment="1" applyProtection="1">
      <alignment/>
      <protection hidden="1"/>
    </xf>
    <xf numFmtId="0" fontId="126" fillId="29" borderId="0" xfId="0" applyFont="1" applyFill="1" applyAlignment="1" applyProtection="1">
      <alignment/>
      <protection hidden="1"/>
    </xf>
    <xf numFmtId="0" fontId="126" fillId="29" borderId="0" xfId="0" applyFont="1" applyFill="1" applyBorder="1" applyAlignment="1" applyProtection="1">
      <alignment/>
      <protection hidden="1"/>
    </xf>
    <xf numFmtId="0" fontId="115" fillId="29" borderId="0" xfId="0" applyFont="1" applyFill="1" applyBorder="1" applyAlignment="1" applyProtection="1">
      <alignment/>
      <protection hidden="1"/>
    </xf>
    <xf numFmtId="0" fontId="117" fillId="38" borderId="0" xfId="0" applyFont="1" applyFill="1" applyBorder="1" applyAlignment="1" applyProtection="1">
      <alignment/>
      <protection hidden="1"/>
    </xf>
    <xf numFmtId="0" fontId="109" fillId="29" borderId="0" xfId="0" applyFont="1" applyFill="1" applyBorder="1" applyAlignment="1" applyProtection="1">
      <alignment/>
      <protection hidden="1"/>
    </xf>
    <xf numFmtId="0" fontId="116" fillId="29" borderId="0" xfId="0" applyFont="1" applyFill="1" applyBorder="1" applyAlignment="1" applyProtection="1">
      <alignment horizontal="center"/>
      <protection hidden="1"/>
    </xf>
    <xf numFmtId="0" fontId="105" fillId="0" borderId="0" xfId="0" applyFont="1" applyFill="1" applyBorder="1" applyAlignment="1" applyProtection="1">
      <alignment/>
      <protection hidden="1"/>
    </xf>
    <xf numFmtId="0" fontId="110" fillId="29" borderId="0" xfId="0" applyFont="1" applyFill="1" applyAlignment="1" applyProtection="1">
      <alignment/>
      <protection hidden="1"/>
    </xf>
    <xf numFmtId="0" fontId="127" fillId="29" borderId="0" xfId="0" applyFont="1" applyFill="1" applyBorder="1" applyAlignment="1" applyProtection="1">
      <alignment horizontal="left"/>
      <protection hidden="1"/>
    </xf>
    <xf numFmtId="0" fontId="110" fillId="29" borderId="0" xfId="0" applyFont="1" applyFill="1" applyBorder="1" applyAlignment="1" applyProtection="1">
      <alignment/>
      <protection locked="0"/>
    </xf>
    <xf numFmtId="0" fontId="7" fillId="29" borderId="0" xfId="0" applyFont="1" applyFill="1" applyAlignment="1" applyProtection="1">
      <alignment/>
      <protection hidden="1"/>
    </xf>
    <xf numFmtId="0" fontId="7" fillId="29" borderId="0" xfId="0" applyFont="1" applyFill="1" applyBorder="1" applyAlignment="1" applyProtection="1">
      <alignment/>
      <protection hidden="1"/>
    </xf>
    <xf numFmtId="0" fontId="8" fillId="29" borderId="0" xfId="0" applyFont="1" applyFill="1" applyBorder="1" applyAlignment="1" applyProtection="1">
      <alignment/>
      <protection hidden="1"/>
    </xf>
    <xf numFmtId="0" fontId="9" fillId="29" borderId="0" xfId="0" applyFont="1" applyFill="1" applyBorder="1" applyAlignment="1" applyProtection="1">
      <alignment/>
      <protection hidden="1"/>
    </xf>
    <xf numFmtId="0" fontId="7" fillId="38" borderId="0" xfId="0" applyFont="1" applyFill="1" applyAlignment="1" applyProtection="1">
      <alignment/>
      <protection hidden="1"/>
    </xf>
    <xf numFmtId="0" fontId="7" fillId="38" borderId="0" xfId="0" applyFont="1" applyFill="1" applyBorder="1" applyAlignment="1" applyProtection="1">
      <alignment/>
      <protection hidden="1"/>
    </xf>
    <xf numFmtId="0" fontId="8" fillId="38" borderId="0" xfId="0" applyFont="1" applyFill="1" applyBorder="1" applyAlignment="1" applyProtection="1">
      <alignment/>
      <protection hidden="1"/>
    </xf>
    <xf numFmtId="0" fontId="9" fillId="38" borderId="0" xfId="0" applyFont="1" applyFill="1" applyBorder="1" applyAlignment="1" applyProtection="1">
      <alignment/>
      <protection hidden="1"/>
    </xf>
    <xf numFmtId="0" fontId="10" fillId="29" borderId="0" xfId="0" applyFont="1" applyFill="1" applyBorder="1" applyAlignment="1" applyProtection="1">
      <alignment vertical="center"/>
      <protection hidden="1"/>
    </xf>
    <xf numFmtId="0" fontId="9" fillId="29" borderId="0" xfId="0" applyFont="1" applyFill="1" applyBorder="1" applyAlignment="1" applyProtection="1">
      <alignment vertical="center"/>
      <protection hidden="1"/>
    </xf>
    <xf numFmtId="0" fontId="11" fillId="29" borderId="0" xfId="0" applyFont="1" applyFill="1" applyBorder="1" applyAlignment="1" applyProtection="1">
      <alignment vertical="center"/>
      <protection hidden="1"/>
    </xf>
    <xf numFmtId="0" fontId="12" fillId="29" borderId="0" xfId="0" applyFont="1" applyFill="1" applyBorder="1" applyAlignment="1" applyProtection="1">
      <alignment vertical="center"/>
      <protection hidden="1"/>
    </xf>
    <xf numFmtId="0" fontId="111" fillId="29" borderId="0" xfId="0" applyFont="1" applyFill="1" applyBorder="1" applyAlignment="1" applyProtection="1">
      <alignment vertical="center"/>
      <protection hidden="1"/>
    </xf>
    <xf numFmtId="0" fontId="112" fillId="29" borderId="0" xfId="0" applyFont="1" applyFill="1" applyBorder="1" applyAlignment="1" applyProtection="1">
      <alignment vertical="center"/>
      <protection hidden="1"/>
    </xf>
    <xf numFmtId="0" fontId="113" fillId="29" borderId="0" xfId="0" applyFont="1" applyFill="1" applyBorder="1" applyAlignment="1" applyProtection="1">
      <alignment vertical="center"/>
      <protection hidden="1"/>
    </xf>
    <xf numFmtId="0" fontId="114" fillId="29" borderId="0" xfId="0" applyFont="1" applyFill="1" applyBorder="1" applyAlignment="1" applyProtection="1">
      <alignment vertical="center"/>
      <protection hidden="1"/>
    </xf>
    <xf numFmtId="0" fontId="111" fillId="29" borderId="0" xfId="0" applyNumberFormat="1" applyFont="1" applyFill="1" applyBorder="1" applyAlignment="1" applyProtection="1">
      <alignment horizontal="left" vertical="center"/>
      <protection hidden="1"/>
    </xf>
    <xf numFmtId="0" fontId="115" fillId="29" borderId="0" xfId="0" applyNumberFormat="1" applyFont="1" applyFill="1" applyBorder="1" applyAlignment="1" applyProtection="1">
      <alignment horizontal="centerContinuous" vertical="center"/>
      <protection hidden="1"/>
    </xf>
    <xf numFmtId="0" fontId="115" fillId="29" borderId="0" xfId="0" applyNumberFormat="1" applyFont="1" applyFill="1" applyBorder="1" applyAlignment="1" applyProtection="1">
      <alignment horizontal="center" vertical="center"/>
      <protection hidden="1"/>
    </xf>
    <xf numFmtId="0" fontId="13" fillId="29" borderId="0" xfId="0" applyNumberFormat="1" applyFont="1" applyFill="1" applyBorder="1" applyAlignment="1" applyProtection="1">
      <alignment horizontal="center" vertical="center"/>
      <protection hidden="1"/>
    </xf>
    <xf numFmtId="0" fontId="14" fillId="29" borderId="0" xfId="0" applyFont="1" applyFill="1" applyBorder="1" applyAlignment="1" applyProtection="1">
      <alignment horizontal="center"/>
      <protection hidden="1"/>
    </xf>
    <xf numFmtId="0" fontId="12" fillId="29" borderId="0" xfId="0" applyFont="1" applyFill="1" applyBorder="1" applyAlignment="1" applyProtection="1">
      <alignment/>
      <protection hidden="1"/>
    </xf>
    <xf numFmtId="0" fontId="115" fillId="29" borderId="0" xfId="0" applyFont="1" applyFill="1" applyBorder="1" applyAlignment="1" applyProtection="1">
      <alignment vertical="center"/>
      <protection hidden="1"/>
    </xf>
    <xf numFmtId="0" fontId="110" fillId="29" borderId="0" xfId="0" applyFont="1" applyFill="1" applyBorder="1" applyAlignment="1" applyProtection="1">
      <alignment vertical="center"/>
      <protection hidden="1"/>
    </xf>
    <xf numFmtId="189" fontId="110" fillId="29" borderId="0" xfId="0" applyNumberFormat="1" applyFont="1" applyFill="1" applyBorder="1" applyAlignment="1" applyProtection="1">
      <alignment/>
      <protection hidden="1"/>
    </xf>
    <xf numFmtId="189" fontId="11" fillId="29" borderId="0" xfId="0" applyNumberFormat="1" applyFont="1" applyFill="1" applyBorder="1" applyAlignment="1" applyProtection="1">
      <alignment/>
      <protection hidden="1"/>
    </xf>
    <xf numFmtId="189" fontId="12" fillId="29" borderId="0" xfId="0" applyNumberFormat="1" applyFont="1" applyFill="1" applyBorder="1" applyAlignment="1" applyProtection="1">
      <alignment/>
      <protection hidden="1"/>
    </xf>
    <xf numFmtId="0" fontId="15" fillId="29" borderId="0" xfId="0" applyFont="1" applyFill="1" applyBorder="1" applyAlignment="1" applyProtection="1">
      <alignment/>
      <protection hidden="1"/>
    </xf>
    <xf numFmtId="189" fontId="16" fillId="29" borderId="0" xfId="0" applyNumberFormat="1" applyFont="1" applyFill="1" applyBorder="1" applyAlignment="1" applyProtection="1">
      <alignment vertical="center"/>
      <protection hidden="1"/>
    </xf>
    <xf numFmtId="0" fontId="11" fillId="29" borderId="0" xfId="0" applyFont="1" applyFill="1" applyBorder="1" applyAlignment="1" applyProtection="1">
      <alignment/>
      <protection hidden="1"/>
    </xf>
    <xf numFmtId="0" fontId="128" fillId="29" borderId="0" xfId="0" applyFont="1" applyFill="1" applyBorder="1" applyAlignment="1" applyProtection="1">
      <alignment vertical="center"/>
      <protection hidden="1"/>
    </xf>
    <xf numFmtId="199" fontId="11" fillId="29" borderId="0" xfId="0" applyNumberFormat="1" applyFont="1" applyFill="1" applyBorder="1" applyAlignment="1" applyProtection="1">
      <alignment/>
      <protection hidden="1"/>
    </xf>
    <xf numFmtId="199" fontId="12" fillId="29" borderId="0" xfId="0" applyNumberFormat="1" applyFont="1" applyFill="1" applyBorder="1" applyAlignment="1" applyProtection="1">
      <alignment/>
      <protection hidden="1"/>
    </xf>
    <xf numFmtId="0" fontId="18" fillId="29" borderId="0" xfId="0" applyFont="1" applyFill="1" applyBorder="1" applyAlignment="1" applyProtection="1">
      <alignment horizontal="center" vertical="center"/>
      <protection hidden="1"/>
    </xf>
    <xf numFmtId="2" fontId="19" fillId="29" borderId="0" xfId="0" applyNumberFormat="1" applyFont="1" applyFill="1" applyBorder="1" applyAlignment="1" applyProtection="1">
      <alignment horizontal="center" vertical="center"/>
      <protection hidden="1"/>
    </xf>
    <xf numFmtId="0" fontId="20" fillId="29" borderId="0" xfId="0" applyFont="1" applyFill="1" applyAlignment="1" applyProtection="1">
      <alignment/>
      <protection hidden="1"/>
    </xf>
    <xf numFmtId="0" fontId="20" fillId="29" borderId="0" xfId="0" applyFont="1" applyFill="1" applyBorder="1" applyAlignment="1" applyProtection="1">
      <alignment/>
      <protection hidden="1"/>
    </xf>
    <xf numFmtId="0" fontId="12" fillId="29" borderId="0" xfId="0" applyFont="1" applyFill="1" applyAlignment="1" applyProtection="1">
      <alignment/>
      <protection hidden="1"/>
    </xf>
    <xf numFmtId="0" fontId="22" fillId="29" borderId="0" xfId="0" applyFont="1" applyFill="1" applyBorder="1" applyAlignment="1" applyProtection="1">
      <alignment horizontal="left"/>
      <protection hidden="1"/>
    </xf>
    <xf numFmtId="0" fontId="13" fillId="29" borderId="0" xfId="0" applyFont="1" applyFill="1" applyBorder="1" applyAlignment="1" applyProtection="1">
      <alignment/>
      <protection hidden="1"/>
    </xf>
    <xf numFmtId="0" fontId="9" fillId="29" borderId="0" xfId="0" applyFont="1" applyFill="1" applyAlignment="1" applyProtection="1">
      <alignment/>
      <protection hidden="1"/>
    </xf>
    <xf numFmtId="0" fontId="113" fillId="29" borderId="0" xfId="0" applyFont="1" applyFill="1" applyAlignment="1" applyProtection="1">
      <alignment/>
      <protection hidden="1"/>
    </xf>
    <xf numFmtId="0" fontId="113" fillId="29" borderId="0" xfId="0" applyFont="1" applyFill="1" applyBorder="1" applyAlignment="1" applyProtection="1">
      <alignment/>
      <protection hidden="1"/>
    </xf>
    <xf numFmtId="3" fontId="116" fillId="29" borderId="0" xfId="0" applyNumberFormat="1" applyFont="1" applyFill="1" applyBorder="1" applyAlignment="1" applyProtection="1">
      <alignment horizontal="center" vertical="center"/>
      <protection hidden="1"/>
    </xf>
    <xf numFmtId="0" fontId="129" fillId="29" borderId="0" xfId="0" applyFont="1" applyFill="1" applyBorder="1" applyAlignment="1" applyProtection="1">
      <alignment vertical="center"/>
      <protection hidden="1"/>
    </xf>
    <xf numFmtId="3" fontId="117" fillId="29" borderId="0" xfId="42" applyNumberFormat="1" applyFont="1" applyFill="1" applyBorder="1" applyAlignment="1" applyProtection="1">
      <alignment horizontal="center" vertical="center"/>
      <protection hidden="1"/>
    </xf>
    <xf numFmtId="0" fontId="116" fillId="29" borderId="0" xfId="49" applyNumberFormat="1" applyFont="1" applyFill="1" applyBorder="1" applyProtection="1">
      <alignment horizontal="right"/>
      <protection hidden="1"/>
    </xf>
    <xf numFmtId="3" fontId="117" fillId="39" borderId="19" xfId="49" applyNumberFormat="1" applyFont="1" applyFill="1" applyBorder="1" applyAlignment="1" applyProtection="1">
      <alignment horizontal="center" vertical="center"/>
      <protection hidden="1"/>
    </xf>
    <xf numFmtId="3" fontId="117" fillId="29" borderId="19" xfId="0" applyNumberFormat="1" applyFont="1" applyFill="1" applyBorder="1" applyAlignment="1" applyProtection="1">
      <alignment horizontal="center" vertical="center"/>
      <protection locked="0"/>
    </xf>
    <xf numFmtId="10" fontId="115" fillId="38" borderId="0" xfId="68" applyNumberFormat="1" applyFont="1" applyFill="1" applyBorder="1" applyAlignment="1" applyProtection="1">
      <alignment horizontal="center" vertical="center"/>
      <protection hidden="1"/>
    </xf>
    <xf numFmtId="0" fontId="130" fillId="38" borderId="0" xfId="0" applyFont="1" applyFill="1" applyBorder="1" applyAlignment="1" applyProtection="1">
      <alignment horizontal="left"/>
      <protection hidden="1"/>
    </xf>
    <xf numFmtId="0" fontId="120" fillId="38" borderId="0" xfId="0" applyFont="1" applyFill="1" applyBorder="1" applyAlignment="1" applyProtection="1">
      <alignment/>
      <protection hidden="1"/>
    </xf>
    <xf numFmtId="0" fontId="23" fillId="38" borderId="0" xfId="0" applyFont="1" applyFill="1" applyBorder="1" applyAlignment="1" applyProtection="1">
      <alignment/>
      <protection hidden="1"/>
    </xf>
    <xf numFmtId="2" fontId="10" fillId="29" borderId="0" xfId="0" applyNumberFormat="1" applyFont="1" applyFill="1" applyBorder="1" applyAlignment="1" applyProtection="1">
      <alignment vertical="center"/>
      <protection hidden="1"/>
    </xf>
    <xf numFmtId="0" fontId="11" fillId="38" borderId="0" xfId="0" applyFont="1" applyFill="1" applyBorder="1" applyAlignment="1" applyProtection="1">
      <alignment/>
      <protection hidden="1"/>
    </xf>
    <xf numFmtId="10" fontId="131" fillId="29" borderId="0" xfId="68" applyNumberFormat="1" applyFont="1" applyFill="1" applyBorder="1" applyAlignment="1" applyProtection="1">
      <alignment/>
      <protection hidden="1"/>
    </xf>
    <xf numFmtId="0" fontId="123" fillId="38" borderId="0" xfId="0" applyFont="1" applyFill="1" applyBorder="1" applyAlignment="1" applyProtection="1">
      <alignment/>
      <protection hidden="1"/>
    </xf>
    <xf numFmtId="0" fontId="17" fillId="38" borderId="0" xfId="0" applyFont="1" applyFill="1" applyBorder="1" applyAlignment="1" applyProtection="1">
      <alignment/>
      <protection hidden="1"/>
    </xf>
    <xf numFmtId="0" fontId="120" fillId="29" borderId="0" xfId="0" applyFont="1" applyFill="1" applyBorder="1" applyAlignment="1" applyProtection="1">
      <alignment vertical="center"/>
      <protection hidden="1"/>
    </xf>
    <xf numFmtId="0" fontId="126" fillId="29" borderId="0" xfId="0" applyFont="1" applyFill="1" applyBorder="1" applyAlignment="1" applyProtection="1">
      <alignment vertical="center"/>
      <protection hidden="1"/>
    </xf>
    <xf numFmtId="43" fontId="115" fillId="38" borderId="0" xfId="42" applyFont="1" applyFill="1" applyBorder="1" applyAlignment="1" applyProtection="1">
      <alignment horizontal="right"/>
      <protection hidden="1"/>
    </xf>
    <xf numFmtId="0" fontId="15" fillId="38" borderId="0" xfId="0" applyFont="1" applyFill="1" applyBorder="1" applyAlignment="1" applyProtection="1">
      <alignment/>
      <protection hidden="1"/>
    </xf>
    <xf numFmtId="0" fontId="110" fillId="29" borderId="0" xfId="0" applyFont="1" applyFill="1" applyBorder="1" applyAlignment="1" applyProtection="1">
      <alignment wrapText="1"/>
      <protection hidden="1"/>
    </xf>
    <xf numFmtId="1" fontId="109" fillId="29" borderId="0" xfId="0" applyNumberFormat="1" applyFont="1" applyFill="1" applyBorder="1" applyAlignment="1" applyProtection="1">
      <alignment vertical="center" wrapText="1"/>
      <protection hidden="1"/>
    </xf>
    <xf numFmtId="0" fontId="109" fillId="29" borderId="0" xfId="0" applyFont="1" applyFill="1" applyBorder="1" applyAlignment="1" applyProtection="1">
      <alignment horizontal="center" vertical="center" wrapText="1"/>
      <protection hidden="1"/>
    </xf>
    <xf numFmtId="43" fontId="109" fillId="38" borderId="0" xfId="42" applyFont="1" applyFill="1" applyBorder="1" applyAlignment="1" applyProtection="1">
      <alignment horizontal="right"/>
      <protection hidden="1"/>
    </xf>
    <xf numFmtId="189" fontId="109" fillId="38" borderId="0" xfId="0" applyNumberFormat="1" applyFont="1" applyFill="1" applyBorder="1" applyAlignment="1" applyProtection="1">
      <alignment horizontal="center" vertical="center"/>
      <protection hidden="1"/>
    </xf>
    <xf numFmtId="189" fontId="10" fillId="38" borderId="0" xfId="0" applyNumberFormat="1" applyFont="1" applyFill="1" applyBorder="1" applyAlignment="1" applyProtection="1">
      <alignment horizontal="center" vertical="center"/>
      <protection hidden="1"/>
    </xf>
    <xf numFmtId="43" fontId="105" fillId="38" borderId="0" xfId="42" applyFont="1" applyFill="1" applyBorder="1" applyAlignment="1" applyProtection="1">
      <alignment horizontal="right"/>
      <protection hidden="1"/>
    </xf>
    <xf numFmtId="0" fontId="21" fillId="29" borderId="0" xfId="0" applyFont="1" applyFill="1" applyAlignment="1" applyProtection="1">
      <alignment/>
      <protection hidden="1"/>
    </xf>
    <xf numFmtId="0" fontId="11" fillId="29" borderId="0" xfId="0" applyFont="1" applyFill="1" applyAlignment="1" applyProtection="1">
      <alignment/>
      <protection hidden="1"/>
    </xf>
    <xf numFmtId="0" fontId="116" fillId="38" borderId="0" xfId="0" applyFont="1" applyFill="1" applyBorder="1" applyAlignment="1" applyProtection="1">
      <alignment horizontal="centerContinuous"/>
      <protection hidden="1"/>
    </xf>
    <xf numFmtId="0" fontId="127" fillId="38" borderId="0" xfId="0" applyFont="1" applyFill="1" applyBorder="1" applyAlignment="1" applyProtection="1">
      <alignment horizontal="left"/>
      <protection hidden="1"/>
    </xf>
    <xf numFmtId="0" fontId="110" fillId="38" borderId="0" xfId="0" applyFont="1" applyFill="1" applyAlignment="1" applyProtection="1">
      <alignment/>
      <protection hidden="1"/>
    </xf>
    <xf numFmtId="0" fontId="132" fillId="29" borderId="0" xfId="0" applyFont="1" applyFill="1" applyBorder="1" applyAlignment="1" applyProtection="1">
      <alignment vertical="center"/>
      <protection hidden="1"/>
    </xf>
    <xf numFmtId="0" fontId="110" fillId="40" borderId="0" xfId="0" applyFont="1" applyFill="1" applyAlignment="1" applyProtection="1">
      <alignment/>
      <protection hidden="1"/>
    </xf>
    <xf numFmtId="0" fontId="133" fillId="40" borderId="0" xfId="0" applyFont="1" applyFill="1" applyAlignment="1" applyProtection="1">
      <alignment/>
      <protection locked="0"/>
    </xf>
    <xf numFmtId="0" fontId="110" fillId="40" borderId="0" xfId="0" applyFont="1" applyFill="1" applyBorder="1" applyAlignment="1" applyProtection="1">
      <alignment/>
      <protection hidden="1"/>
    </xf>
    <xf numFmtId="0" fontId="134" fillId="40" borderId="0" xfId="0" applyFont="1" applyFill="1" applyBorder="1" applyAlignment="1" applyProtection="1">
      <alignment horizontal="left" vertical="top" wrapText="1"/>
      <protection hidden="1"/>
    </xf>
    <xf numFmtId="0" fontId="110" fillId="29" borderId="0" xfId="0" applyFont="1" applyFill="1" applyBorder="1" applyAlignment="1" applyProtection="1">
      <alignment horizontal="left" vertical="top"/>
      <protection hidden="1"/>
    </xf>
    <xf numFmtId="0" fontId="110" fillId="29" borderId="0" xfId="0" applyFont="1" applyFill="1" applyBorder="1" applyAlignment="1" applyProtection="1">
      <alignment horizontal="left" vertical="top" wrapText="1"/>
      <protection hidden="1"/>
    </xf>
    <xf numFmtId="0" fontId="134" fillId="40" borderId="0" xfId="0" applyFont="1" applyFill="1" applyAlignment="1" applyProtection="1">
      <alignment horizontal="center" vertical="center"/>
      <protection hidden="1"/>
    </xf>
    <xf numFmtId="204" fontId="110" fillId="29" borderId="0" xfId="42" applyNumberFormat="1" applyFont="1" applyFill="1" applyAlignment="1" applyProtection="1">
      <alignment/>
      <protection hidden="1"/>
    </xf>
    <xf numFmtId="0" fontId="125" fillId="29" borderId="0" xfId="0" applyFont="1" applyFill="1" applyAlignment="1" applyProtection="1">
      <alignment/>
      <protection hidden="1"/>
    </xf>
    <xf numFmtId="0" fontId="110" fillId="29" borderId="0" xfId="0" applyFont="1" applyFill="1" applyAlignment="1" applyProtection="1">
      <alignment vertical="top"/>
      <protection hidden="1"/>
    </xf>
    <xf numFmtId="204" fontId="110" fillId="29" borderId="0" xfId="42" applyNumberFormat="1" applyFont="1" applyFill="1" applyAlignment="1" applyProtection="1">
      <alignment horizontal="left"/>
      <protection hidden="1"/>
    </xf>
    <xf numFmtId="0" fontId="110" fillId="29" borderId="0" xfId="0" applyFont="1" applyFill="1" applyAlignment="1" applyProtection="1">
      <alignment horizontal="right"/>
      <protection hidden="1"/>
    </xf>
    <xf numFmtId="207" fontId="105" fillId="29" borderId="0" xfId="42" applyNumberFormat="1" applyFont="1" applyFill="1" applyAlignment="1" applyProtection="1">
      <alignment/>
      <protection hidden="1"/>
    </xf>
    <xf numFmtId="0" fontId="110" fillId="29" borderId="0" xfId="0" applyFont="1" applyFill="1" applyAlignment="1" applyProtection="1">
      <alignment/>
      <protection locked="0"/>
    </xf>
    <xf numFmtId="0" fontId="135" fillId="29" borderId="0" xfId="0" applyFont="1" applyFill="1" applyBorder="1" applyAlignment="1" applyProtection="1">
      <alignment/>
      <protection hidden="1"/>
    </xf>
    <xf numFmtId="0" fontId="135" fillId="29" borderId="0" xfId="0" applyFont="1" applyFill="1" applyAlignment="1" applyProtection="1">
      <alignment/>
      <protection hidden="1"/>
    </xf>
    <xf numFmtId="0" fontId="110" fillId="40" borderId="0" xfId="0" applyFont="1" applyFill="1" applyAlignment="1" applyProtection="1">
      <alignment/>
      <protection locked="0"/>
    </xf>
    <xf numFmtId="208" fontId="136" fillId="38" borderId="0" xfId="47" applyNumberFormat="1" applyFont="1" applyFill="1" applyBorder="1" applyAlignment="1" applyProtection="1">
      <alignment horizontal="center" vertical="center"/>
      <protection hidden="1"/>
    </xf>
    <xf numFmtId="208" fontId="136" fillId="29" borderId="0" xfId="47" applyNumberFormat="1" applyFont="1" applyFill="1" applyBorder="1" applyAlignment="1" applyProtection="1">
      <alignment horizontal="center" vertical="center"/>
      <protection hidden="1"/>
    </xf>
    <xf numFmtId="0" fontId="137" fillId="40" borderId="0" xfId="0" applyFont="1" applyFill="1" applyAlignment="1" applyProtection="1">
      <alignment/>
      <protection locked="0"/>
    </xf>
    <xf numFmtId="0" fontId="115" fillId="40" borderId="0" xfId="0" applyFont="1" applyFill="1" applyAlignment="1" applyProtection="1">
      <alignment horizontal="center" vertical="center"/>
      <protection locked="0"/>
    </xf>
    <xf numFmtId="0" fontId="115" fillId="40" borderId="20" xfId="0" applyFont="1" applyFill="1" applyBorder="1" applyAlignment="1" applyProtection="1">
      <alignment horizontal="center" vertical="center"/>
      <protection locked="0"/>
    </xf>
    <xf numFmtId="0" fontId="134" fillId="29" borderId="0" xfId="0" applyFont="1" applyFill="1" applyAlignment="1" applyProtection="1">
      <alignment/>
      <protection hidden="1"/>
    </xf>
    <xf numFmtId="0" fontId="115" fillId="40" borderId="0" xfId="0" applyFont="1" applyFill="1" applyAlignment="1" applyProtection="1">
      <alignment/>
      <protection hidden="1"/>
    </xf>
    <xf numFmtId="204" fontId="115" fillId="40" borderId="0" xfId="42" applyNumberFormat="1" applyFont="1" applyFill="1" applyAlignment="1" applyProtection="1">
      <alignment/>
      <protection hidden="1"/>
    </xf>
    <xf numFmtId="0" fontId="109" fillId="40" borderId="0" xfId="0" applyFont="1" applyFill="1" applyAlignment="1" applyProtection="1">
      <alignment/>
      <protection hidden="1"/>
    </xf>
    <xf numFmtId="0" fontId="115" fillId="34" borderId="0" xfId="0" applyFont="1" applyFill="1" applyBorder="1" applyAlignment="1" applyProtection="1">
      <alignment horizontal="left" vertical="top"/>
      <protection hidden="1"/>
    </xf>
    <xf numFmtId="0" fontId="115" fillId="34" borderId="0" xfId="0" applyFont="1" applyFill="1" applyAlignment="1" applyProtection="1">
      <alignment/>
      <protection hidden="1"/>
    </xf>
    <xf numFmtId="0" fontId="115" fillId="40" borderId="0" xfId="0" applyFont="1" applyFill="1" applyBorder="1" applyAlignment="1" applyProtection="1">
      <alignment horizontal="left" vertical="top"/>
      <protection hidden="1"/>
    </xf>
    <xf numFmtId="0" fontId="115" fillId="40" borderId="0" xfId="65" applyFont="1" applyFill="1" applyBorder="1" applyProtection="1">
      <alignment/>
      <protection hidden="1"/>
    </xf>
    <xf numFmtId="0" fontId="115" fillId="34" borderId="0" xfId="65" applyFont="1" applyFill="1" applyBorder="1" applyProtection="1">
      <alignment/>
      <protection hidden="1"/>
    </xf>
    <xf numFmtId="0" fontId="115" fillId="40" borderId="0" xfId="65" applyNumberFormat="1" applyFont="1" applyFill="1" applyBorder="1" applyProtection="1">
      <alignment/>
      <protection hidden="1"/>
    </xf>
    <xf numFmtId="0" fontId="138" fillId="38" borderId="0" xfId="0" applyFont="1" applyFill="1" applyBorder="1" applyAlignment="1" applyProtection="1">
      <alignment horizontal="left" vertical="center"/>
      <protection hidden="1"/>
    </xf>
    <xf numFmtId="0" fontId="122" fillId="29" borderId="0" xfId="0" applyFont="1" applyFill="1" applyBorder="1" applyAlignment="1" applyProtection="1">
      <alignment vertical="center"/>
      <protection hidden="1"/>
    </xf>
    <xf numFmtId="0" fontId="134" fillId="29" borderId="0" xfId="0" applyFont="1" applyFill="1" applyBorder="1" applyAlignment="1" applyProtection="1">
      <alignment vertical="center"/>
      <protection hidden="1"/>
    </xf>
    <xf numFmtId="0" fontId="110" fillId="29" borderId="0" xfId="0" applyFont="1" applyFill="1" applyBorder="1" applyAlignment="1" applyProtection="1">
      <alignment/>
      <protection hidden="1"/>
    </xf>
    <xf numFmtId="0" fontId="139" fillId="38" borderId="0" xfId="0" applyFont="1" applyFill="1" applyBorder="1" applyAlignment="1" applyProtection="1">
      <alignment horizontal="right" vertical="center"/>
      <protection hidden="1"/>
    </xf>
    <xf numFmtId="0" fontId="140" fillId="29" borderId="0" xfId="0" applyFont="1" applyFill="1" applyAlignment="1" applyProtection="1">
      <alignment/>
      <protection hidden="1"/>
    </xf>
    <xf numFmtId="0" fontId="110" fillId="29" borderId="0" xfId="0" applyFont="1" applyFill="1" applyBorder="1" applyAlignment="1" applyProtection="1">
      <alignment/>
      <protection/>
    </xf>
    <xf numFmtId="0" fontId="110" fillId="29" borderId="0" xfId="0" applyFont="1" applyFill="1" applyAlignment="1" applyProtection="1">
      <alignment/>
      <protection/>
    </xf>
    <xf numFmtId="0" fontId="110" fillId="38" borderId="0" xfId="0" applyFont="1" applyFill="1" applyAlignment="1" applyProtection="1">
      <alignment/>
      <protection/>
    </xf>
    <xf numFmtId="0" fontId="110" fillId="40" borderId="0" xfId="0" applyFont="1" applyFill="1" applyAlignment="1" applyProtection="1">
      <alignment/>
      <protection/>
    </xf>
    <xf numFmtId="0" fontId="134" fillId="40" borderId="0" xfId="0" applyFont="1" applyFill="1" applyBorder="1" applyAlignment="1" applyProtection="1">
      <alignment horizontal="left" vertical="top"/>
      <protection/>
    </xf>
    <xf numFmtId="0" fontId="141" fillId="40" borderId="0" xfId="0" applyFont="1" applyFill="1" applyBorder="1" applyAlignment="1" applyProtection="1">
      <alignment horizontal="left" vertical="top"/>
      <protection/>
    </xf>
    <xf numFmtId="0" fontId="134" fillId="40" borderId="0" xfId="0" applyFont="1" applyFill="1" applyAlignment="1" applyProtection="1">
      <alignment/>
      <protection/>
    </xf>
    <xf numFmtId="0" fontId="142" fillId="29" borderId="10" xfId="0" applyFont="1" applyFill="1" applyBorder="1" applyAlignment="1">
      <alignment/>
    </xf>
    <xf numFmtId="0" fontId="143" fillId="29" borderId="13" xfId="0" applyFont="1" applyFill="1" applyBorder="1" applyAlignment="1">
      <alignment/>
    </xf>
    <xf numFmtId="0" fontId="143" fillId="29" borderId="0" xfId="0" applyFont="1" applyFill="1" applyAlignment="1">
      <alignment/>
    </xf>
    <xf numFmtId="0" fontId="143" fillId="29" borderId="10" xfId="0" applyFont="1" applyFill="1" applyBorder="1" applyAlignment="1">
      <alignment/>
    </xf>
    <xf numFmtId="0" fontId="143" fillId="34" borderId="10" xfId="0" applyFont="1" applyFill="1" applyBorder="1" applyAlignment="1">
      <alignment/>
    </xf>
    <xf numFmtId="10" fontId="143" fillId="37" borderId="13" xfId="0" applyNumberFormat="1" applyFont="1" applyFill="1" applyBorder="1" applyAlignment="1">
      <alignment/>
    </xf>
    <xf numFmtId="204" fontId="143" fillId="34" borderId="13" xfId="47" applyNumberFormat="1" applyFont="1" applyFill="1" applyBorder="1" applyAlignment="1">
      <alignment/>
    </xf>
    <xf numFmtId="3" fontId="143" fillId="34" borderId="13" xfId="0" applyNumberFormat="1" applyFont="1" applyFill="1" applyBorder="1" applyAlignment="1">
      <alignment/>
    </xf>
    <xf numFmtId="10" fontId="143" fillId="34" borderId="13" xfId="0" applyNumberFormat="1" applyFont="1" applyFill="1" applyBorder="1" applyAlignment="1">
      <alignment/>
    </xf>
    <xf numFmtId="204" fontId="143" fillId="34" borderId="10" xfId="47" applyNumberFormat="1" applyFont="1" applyFill="1" applyBorder="1" applyAlignment="1">
      <alignment/>
    </xf>
    <xf numFmtId="204" fontId="143" fillId="36" borderId="13" xfId="47" applyNumberFormat="1" applyFont="1" applyFill="1" applyBorder="1" applyAlignment="1">
      <alignment/>
    </xf>
    <xf numFmtId="0" fontId="144" fillId="29" borderId="10" xfId="0" applyFont="1" applyFill="1" applyBorder="1" applyAlignment="1">
      <alignment/>
    </xf>
    <xf numFmtId="202" fontId="143" fillId="29" borderId="13" xfId="0" applyNumberFormat="1" applyFont="1" applyFill="1" applyBorder="1" applyAlignment="1">
      <alignment/>
    </xf>
    <xf numFmtId="0" fontId="143" fillId="29" borderId="10" xfId="0" applyFont="1" applyFill="1" applyBorder="1" applyAlignment="1">
      <alignment wrapText="1"/>
    </xf>
    <xf numFmtId="2" fontId="143" fillId="29" borderId="13" xfId="0" applyNumberFormat="1" applyFont="1" applyFill="1" applyBorder="1" applyAlignment="1">
      <alignment/>
    </xf>
    <xf numFmtId="201" fontId="144" fillId="29" borderId="10" xfId="47" applyFont="1" applyFill="1" applyBorder="1" applyAlignment="1">
      <alignment horizontal="left"/>
    </xf>
    <xf numFmtId="201" fontId="144" fillId="29" borderId="13" xfId="47" applyFont="1" applyFill="1" applyBorder="1" applyAlignment="1">
      <alignment/>
    </xf>
    <xf numFmtId="43" fontId="144" fillId="29" borderId="13" xfId="0" applyNumberFormat="1" applyFont="1" applyFill="1" applyBorder="1" applyAlignment="1">
      <alignment/>
    </xf>
    <xf numFmtId="0" fontId="144" fillId="0" borderId="10" xfId="0" applyFont="1" applyBorder="1" applyAlignment="1">
      <alignment/>
    </xf>
    <xf numFmtId="43" fontId="143" fillId="29" borderId="13" xfId="47" applyNumberFormat="1" applyFont="1" applyFill="1" applyBorder="1" applyAlignment="1">
      <alignment/>
    </xf>
    <xf numFmtId="43" fontId="143" fillId="37" borderId="13" xfId="0" applyNumberFormat="1" applyFont="1" applyFill="1" applyBorder="1" applyAlignment="1">
      <alignment/>
    </xf>
    <xf numFmtId="201" fontId="143" fillId="37" borderId="13" xfId="47" applyFont="1" applyFill="1" applyBorder="1" applyAlignment="1">
      <alignment/>
    </xf>
    <xf numFmtId="0" fontId="145" fillId="0" borderId="0" xfId="63" applyFont="1">
      <alignment/>
      <protection/>
    </xf>
    <xf numFmtId="0" fontId="146" fillId="0" borderId="0" xfId="63" applyFont="1">
      <alignment/>
      <protection/>
    </xf>
    <xf numFmtId="0" fontId="88" fillId="0" borderId="0" xfId="63">
      <alignment/>
      <protection/>
    </xf>
    <xf numFmtId="4" fontId="146" fillId="5" borderId="0" xfId="63" applyNumberFormat="1" applyFont="1" applyFill="1">
      <alignment/>
      <protection/>
    </xf>
    <xf numFmtId="0" fontId="145" fillId="0" borderId="21" xfId="63" applyFont="1" applyBorder="1" applyAlignment="1">
      <alignment horizontal="right"/>
      <protection/>
    </xf>
    <xf numFmtId="0" fontId="145" fillId="0" borderId="22" xfId="63" applyFont="1" applyBorder="1" applyAlignment="1">
      <alignment horizontal="right"/>
      <protection/>
    </xf>
    <xf numFmtId="4" fontId="146" fillId="0" borderId="0" xfId="63" applyNumberFormat="1" applyFont="1">
      <alignment/>
      <protection/>
    </xf>
    <xf numFmtId="2" fontId="88" fillId="0" borderId="0" xfId="63" applyNumberFormat="1">
      <alignment/>
      <protection/>
    </xf>
    <xf numFmtId="2" fontId="146" fillId="0" borderId="0" xfId="63" applyNumberFormat="1" applyFont="1">
      <alignment/>
      <protection/>
    </xf>
    <xf numFmtId="0" fontId="145" fillId="0" borderId="23" xfId="63" applyFont="1" applyBorder="1">
      <alignment/>
      <protection/>
    </xf>
    <xf numFmtId="4" fontId="145" fillId="0" borderId="23" xfId="63" applyNumberFormat="1" applyFont="1" applyBorder="1">
      <alignment/>
      <protection/>
    </xf>
    <xf numFmtId="4" fontId="145" fillId="0" borderId="0" xfId="63" applyNumberFormat="1" applyFont="1">
      <alignment/>
      <protection/>
    </xf>
    <xf numFmtId="4" fontId="146" fillId="41" borderId="0" xfId="63" applyNumberFormat="1" applyFont="1" applyFill="1">
      <alignment/>
      <protection/>
    </xf>
    <xf numFmtId="43" fontId="146" fillId="0" borderId="0" xfId="44" applyFont="1" applyAlignment="1">
      <alignment/>
    </xf>
    <xf numFmtId="43" fontId="88" fillId="0" borderId="0" xfId="63" applyNumberFormat="1">
      <alignment/>
      <protection/>
    </xf>
    <xf numFmtId="10" fontId="146" fillId="0" borderId="0" xfId="63" applyNumberFormat="1" applyFont="1">
      <alignment/>
      <protection/>
    </xf>
    <xf numFmtId="43" fontId="146" fillId="0" borderId="0" xfId="63" applyNumberFormat="1" applyFont="1">
      <alignment/>
      <protection/>
    </xf>
    <xf numFmtId="0" fontId="103" fillId="0" borderId="0" xfId="63" applyFont="1">
      <alignment/>
      <protection/>
    </xf>
    <xf numFmtId="4" fontId="88" fillId="5" borderId="0" xfId="63" applyNumberFormat="1" applyFill="1">
      <alignment/>
      <protection/>
    </xf>
    <xf numFmtId="0" fontId="103" fillId="0" borderId="21" xfId="63" applyFont="1" applyBorder="1" applyAlignment="1">
      <alignment horizontal="right"/>
      <protection/>
    </xf>
    <xf numFmtId="4" fontId="88" fillId="0" borderId="0" xfId="63" applyNumberFormat="1">
      <alignment/>
      <protection/>
    </xf>
    <xf numFmtId="0" fontId="103" fillId="0" borderId="23" xfId="63" applyFont="1" applyBorder="1">
      <alignment/>
      <protection/>
    </xf>
    <xf numFmtId="4" fontId="103" fillId="0" borderId="23" xfId="63" applyNumberFormat="1" applyFont="1" applyBorder="1">
      <alignment/>
      <protection/>
    </xf>
    <xf numFmtId="4" fontId="103" fillId="0" borderId="0" xfId="63" applyNumberFormat="1" applyFont="1">
      <alignment/>
      <protection/>
    </xf>
    <xf numFmtId="4" fontId="88" fillId="41" borderId="0" xfId="63" applyNumberFormat="1" applyFill="1">
      <alignment/>
      <protection/>
    </xf>
    <xf numFmtId="43" fontId="88" fillId="0" borderId="0" xfId="44" applyFont="1" applyAlignment="1">
      <alignment/>
    </xf>
    <xf numFmtId="10" fontId="88" fillId="0" borderId="0" xfId="63" applyNumberFormat="1">
      <alignment/>
      <protection/>
    </xf>
    <xf numFmtId="0" fontId="103" fillId="0" borderId="0" xfId="64" applyFont="1">
      <alignment/>
      <protection/>
    </xf>
    <xf numFmtId="0" fontId="88" fillId="0" borderId="0" xfId="64">
      <alignment/>
      <protection/>
    </xf>
    <xf numFmtId="4" fontId="88" fillId="5" borderId="0" xfId="64" applyNumberFormat="1" applyFill="1">
      <alignment/>
      <protection/>
    </xf>
    <xf numFmtId="0" fontId="103" fillId="0" borderId="21" xfId="64" applyFont="1" applyBorder="1" applyAlignment="1">
      <alignment horizontal="right"/>
      <protection/>
    </xf>
    <xf numFmtId="4" fontId="88" fillId="0" borderId="0" xfId="64" applyNumberFormat="1">
      <alignment/>
      <protection/>
    </xf>
    <xf numFmtId="2" fontId="88" fillId="0" borderId="0" xfId="64" applyNumberFormat="1">
      <alignment/>
      <protection/>
    </xf>
    <xf numFmtId="0" fontId="103" fillId="0" borderId="23" xfId="64" applyFont="1" applyBorder="1">
      <alignment/>
      <protection/>
    </xf>
    <xf numFmtId="4" fontId="103" fillId="0" borderId="23" xfId="64" applyNumberFormat="1" applyFont="1" applyBorder="1">
      <alignment/>
      <protection/>
    </xf>
    <xf numFmtId="4" fontId="103" fillId="0" borderId="0" xfId="64" applyNumberFormat="1" applyFont="1">
      <alignment/>
      <protection/>
    </xf>
    <xf numFmtId="3" fontId="88" fillId="5" borderId="0" xfId="64" applyNumberFormat="1" applyFill="1">
      <alignment/>
      <protection/>
    </xf>
    <xf numFmtId="215" fontId="88" fillId="5" borderId="0" xfId="64" applyNumberFormat="1" applyFill="1">
      <alignment/>
      <protection/>
    </xf>
    <xf numFmtId="216" fontId="88" fillId="0" borderId="0" xfId="64" applyNumberFormat="1">
      <alignment/>
      <protection/>
    </xf>
    <xf numFmtId="217" fontId="0" fillId="0" borderId="0" xfId="71" applyNumberFormat="1" applyFont="1" applyAlignment="1">
      <alignment/>
    </xf>
    <xf numFmtId="218" fontId="88" fillId="0" borderId="0" xfId="64" applyNumberFormat="1">
      <alignment/>
      <protection/>
    </xf>
    <xf numFmtId="4" fontId="83" fillId="41" borderId="0" xfId="64" applyNumberFormat="1" applyFont="1" applyFill="1">
      <alignment/>
      <protection/>
    </xf>
    <xf numFmtId="4" fontId="88" fillId="41" borderId="0" xfId="64" applyNumberFormat="1" applyFill="1">
      <alignment/>
      <protection/>
    </xf>
    <xf numFmtId="2" fontId="88" fillId="41" borderId="0" xfId="64" applyNumberFormat="1" applyFill="1">
      <alignment/>
      <protection/>
    </xf>
    <xf numFmtId="43" fontId="88" fillId="41" borderId="0" xfId="42" applyFont="1" applyFill="1" applyAlignment="1">
      <alignment/>
    </xf>
    <xf numFmtId="0" fontId="115" fillId="40" borderId="24" xfId="0" applyFont="1" applyFill="1" applyBorder="1" applyAlignment="1" applyProtection="1">
      <alignment horizontal="center" vertical="center"/>
      <protection hidden="1"/>
    </xf>
    <xf numFmtId="208" fontId="136" fillId="38" borderId="0" xfId="48" applyNumberFormat="1" applyFont="1" applyFill="1" applyBorder="1" applyAlignment="1" applyProtection="1">
      <alignment horizontal="center" vertical="center"/>
      <protection hidden="1"/>
    </xf>
    <xf numFmtId="208" fontId="136" fillId="29" borderId="0" xfId="48" applyNumberFormat="1" applyFont="1" applyFill="1" applyBorder="1" applyAlignment="1" applyProtection="1">
      <alignment horizontal="center" vertical="center"/>
      <protection hidden="1"/>
    </xf>
    <xf numFmtId="0" fontId="110" fillId="40" borderId="0" xfId="0" applyFont="1" applyFill="1" applyAlignment="1" applyProtection="1">
      <alignment/>
      <protection hidden="1" locked="0"/>
    </xf>
    <xf numFmtId="201" fontId="147" fillId="29" borderId="0" xfId="48" applyFont="1" applyFill="1" applyBorder="1" applyAlignment="1" applyProtection="1">
      <alignment horizontal="center" vertical="center"/>
      <protection hidden="1"/>
    </xf>
    <xf numFmtId="0" fontId="137" fillId="40" borderId="0" xfId="0" applyFont="1" applyFill="1" applyAlignment="1" applyProtection="1">
      <alignment/>
      <protection hidden="1"/>
    </xf>
    <xf numFmtId="0" fontId="115" fillId="40" borderId="0" xfId="0" applyFont="1" applyFill="1" applyAlignment="1" applyProtection="1">
      <alignment horizontal="center" vertical="center"/>
      <protection hidden="1"/>
    </xf>
    <xf numFmtId="0" fontId="115" fillId="40" borderId="25" xfId="0" applyFont="1" applyFill="1" applyBorder="1" applyAlignment="1" applyProtection="1">
      <alignment horizontal="center" vertical="center"/>
      <protection hidden="1"/>
    </xf>
    <xf numFmtId="0" fontId="115" fillId="40" borderId="26" xfId="0" applyFont="1" applyFill="1" applyBorder="1" applyAlignment="1" applyProtection="1">
      <alignment horizontal="center" vertical="center"/>
      <protection hidden="1"/>
    </xf>
    <xf numFmtId="204" fontId="115" fillId="40" borderId="0" xfId="46" applyNumberFormat="1" applyFont="1" applyFill="1" applyAlignment="1" applyProtection="1">
      <alignment/>
      <protection hidden="1"/>
    </xf>
    <xf numFmtId="43" fontId="115" fillId="34" borderId="0" xfId="46" applyFont="1" applyFill="1" applyBorder="1" applyAlignment="1" applyProtection="1">
      <alignment horizontal="left" vertical="top"/>
      <protection hidden="1"/>
    </xf>
    <xf numFmtId="0" fontId="115" fillId="40" borderId="0" xfId="0" applyFont="1" applyFill="1" applyAlignment="1" applyProtection="1">
      <alignment horizontal="left" vertical="top"/>
      <protection hidden="1"/>
    </xf>
    <xf numFmtId="0" fontId="115" fillId="40" borderId="0" xfId="65" applyFont="1" applyFill="1" applyProtection="1">
      <alignment/>
      <protection hidden="1"/>
    </xf>
    <xf numFmtId="0" fontId="115" fillId="34" borderId="0" xfId="65" applyFont="1" applyFill="1" applyProtection="1">
      <alignment/>
      <protection hidden="1"/>
    </xf>
    <xf numFmtId="0" fontId="110" fillId="40" borderId="25" xfId="0" applyFont="1" applyFill="1" applyBorder="1" applyAlignment="1" applyProtection="1">
      <alignment horizontal="center" vertical="center"/>
      <protection hidden="1"/>
    </xf>
    <xf numFmtId="0" fontId="110" fillId="40" borderId="27" xfId="0" applyFont="1" applyFill="1" applyBorder="1" applyAlignment="1" applyProtection="1">
      <alignment horizontal="center" vertical="center"/>
      <protection hidden="1"/>
    </xf>
    <xf numFmtId="0" fontId="110" fillId="40" borderId="24" xfId="0" applyFont="1" applyFill="1" applyBorder="1" applyAlignment="1" applyProtection="1">
      <alignment horizontal="center" vertical="center"/>
      <protection hidden="1"/>
    </xf>
    <xf numFmtId="0" fontId="110" fillId="40" borderId="0" xfId="0" applyFont="1" applyFill="1" applyBorder="1" applyAlignment="1" applyProtection="1">
      <alignment horizontal="center" vertical="center"/>
      <protection hidden="1"/>
    </xf>
    <xf numFmtId="0" fontId="110" fillId="29" borderId="0" xfId="0" applyFont="1" applyFill="1" applyBorder="1" applyAlignment="1" applyProtection="1">
      <alignment horizontal="left" vertical="top"/>
      <protection locked="0"/>
    </xf>
    <xf numFmtId="0" fontId="148" fillId="29" borderId="0" xfId="65" applyFont="1" applyFill="1" applyBorder="1" applyAlignment="1" applyProtection="1">
      <alignment horizontal="center" vertical="center"/>
      <protection hidden="1"/>
    </xf>
    <xf numFmtId="208" fontId="136" fillId="29" borderId="0" xfId="47" applyNumberFormat="1" applyFont="1" applyFill="1" applyBorder="1" applyAlignment="1" applyProtection="1">
      <alignment horizontal="center" vertical="center"/>
      <protection hidden="1"/>
    </xf>
    <xf numFmtId="201" fontId="149" fillId="29" borderId="0" xfId="47" applyFont="1" applyFill="1" applyBorder="1" applyAlignment="1" applyProtection="1">
      <alignment horizontal="center" vertical="center"/>
      <protection hidden="1"/>
    </xf>
    <xf numFmtId="201" fontId="147" fillId="29" borderId="0" xfId="47" applyFont="1" applyFill="1" applyBorder="1" applyAlignment="1" applyProtection="1">
      <alignment horizontal="center" vertical="center"/>
      <protection hidden="1"/>
    </xf>
    <xf numFmtId="208" fontId="136" fillId="29" borderId="0" xfId="48" applyNumberFormat="1" applyFont="1" applyFill="1" applyBorder="1" applyAlignment="1" applyProtection="1">
      <alignment horizontal="center" vertical="center"/>
      <protection hidden="1"/>
    </xf>
    <xf numFmtId="201" fontId="149" fillId="29" borderId="0" xfId="48" applyFont="1" applyFill="1" applyBorder="1" applyAlignment="1" applyProtection="1">
      <alignment horizontal="center" vertical="center"/>
      <protection hidden="1"/>
    </xf>
    <xf numFmtId="201" fontId="147" fillId="29" borderId="0" xfId="48" applyFont="1" applyFill="1" applyBorder="1" applyAlignment="1" applyProtection="1">
      <alignment horizontal="center" vertical="center"/>
      <protection hidden="1"/>
    </xf>
    <xf numFmtId="0" fontId="148" fillId="29" borderId="0" xfId="65" applyFont="1" applyFill="1" applyAlignment="1" applyProtection="1">
      <alignment horizontal="center" vertical="center"/>
      <protection hidden="1"/>
    </xf>
    <xf numFmtId="0" fontId="134" fillId="29" borderId="0" xfId="0" applyFont="1" applyFill="1" applyAlignment="1" applyProtection="1">
      <alignment horizontal="left" wrapText="1"/>
      <protection hidden="1"/>
    </xf>
    <xf numFmtId="0" fontId="145" fillId="2" borderId="28" xfId="63" applyFont="1" applyFill="1" applyBorder="1" applyAlignment="1">
      <alignment horizontal="center"/>
      <protection/>
    </xf>
    <xf numFmtId="0" fontId="145" fillId="2" borderId="0" xfId="63" applyFont="1" applyFill="1" applyAlignment="1">
      <alignment horizontal="center"/>
      <protection/>
    </xf>
    <xf numFmtId="0" fontId="88" fillId="2" borderId="0" xfId="63" applyFill="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ower_calculator_de_v8" xfId="47"/>
    <cellStyle name="Comma_power_calculator_de_v8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_tafeln" xfId="65"/>
    <cellStyle name="Note" xfId="66"/>
    <cellStyle name="Output" xfId="67"/>
    <cellStyle name="Percent" xfId="68"/>
    <cellStyle name="Percent 2" xfId="69"/>
    <cellStyle name="Percent 3" xfId="70"/>
    <cellStyle name="Percent 3 2" xfId="71"/>
    <cellStyle name="Title" xfId="72"/>
    <cellStyle name="Total" xfId="73"/>
    <cellStyle name="Warning Text" xfId="74"/>
  </cellStyles>
  <dxfs count="18">
    <dxf>
      <font>
        <color theme="0" tint="-0.149959996342659"/>
      </font>
    </dxf>
    <dxf>
      <font>
        <color theme="0" tint="-0.149959996342659"/>
      </font>
    </dxf>
    <dxf>
      <font>
        <color theme="0" tint="-0.149959996342659"/>
      </font>
    </dxf>
    <dxf>
      <font>
        <color theme="0" tint="-0.149959996342659"/>
      </font>
    </dxf>
    <dxf>
      <font>
        <color theme="0" tint="-0.149959996342659"/>
      </font>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48"/>
      </font>
      <fill>
        <patternFill>
          <bgColor indexed="9"/>
        </patternFill>
      </fill>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609600</xdr:colOff>
      <xdr:row>14</xdr:row>
      <xdr:rowOff>28575</xdr:rowOff>
    </xdr:from>
    <xdr:to>
      <xdr:col>14</xdr:col>
      <xdr:colOff>57150</xdr:colOff>
      <xdr:row>21</xdr:row>
      <xdr:rowOff>0</xdr:rowOff>
    </xdr:to>
    <xdr:pic>
      <xdr:nvPicPr>
        <xdr:cNvPr id="1" name="Picture 2"/>
        <xdr:cNvPicPr preferRelativeResize="1">
          <a:picLocks noChangeAspect="1"/>
        </xdr:cNvPicPr>
      </xdr:nvPicPr>
      <xdr:blipFill>
        <a:blip r:embed="rId1"/>
        <a:srcRect l="43104" r="-1036"/>
        <a:stretch>
          <a:fillRect/>
        </a:stretch>
      </xdr:blipFill>
      <xdr:spPr>
        <a:xfrm>
          <a:off x="7458075" y="3648075"/>
          <a:ext cx="1581150" cy="1647825"/>
        </a:xfrm>
        <a:prstGeom prst="rect">
          <a:avLst/>
        </a:prstGeom>
        <a:noFill/>
        <a:ln w="9525" cmpd="sng">
          <a:noFill/>
        </a:ln>
      </xdr:spPr>
    </xdr:pic>
    <xdr:clientData/>
  </xdr:twoCellAnchor>
  <xdr:twoCellAnchor editAs="oneCell">
    <xdr:from>
      <xdr:col>3</xdr:col>
      <xdr:colOff>104775</xdr:colOff>
      <xdr:row>1</xdr:row>
      <xdr:rowOff>514350</xdr:rowOff>
    </xdr:from>
    <xdr:to>
      <xdr:col>5</xdr:col>
      <xdr:colOff>600075</xdr:colOff>
      <xdr:row>1</xdr:row>
      <xdr:rowOff>1066800</xdr:rowOff>
    </xdr:to>
    <xdr:pic>
      <xdr:nvPicPr>
        <xdr:cNvPr id="2" name="Picture 2"/>
        <xdr:cNvPicPr preferRelativeResize="1">
          <a:picLocks noChangeAspect="1"/>
        </xdr:cNvPicPr>
      </xdr:nvPicPr>
      <xdr:blipFill>
        <a:blip r:embed="rId2"/>
        <a:stretch>
          <a:fillRect/>
        </a:stretch>
      </xdr:blipFill>
      <xdr:spPr>
        <a:xfrm>
          <a:off x="552450" y="704850"/>
          <a:ext cx="17240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14</xdr:row>
      <xdr:rowOff>76200</xdr:rowOff>
    </xdr:from>
    <xdr:to>
      <xdr:col>13</xdr:col>
      <xdr:colOff>0</xdr:colOff>
      <xdr:row>22</xdr:row>
      <xdr:rowOff>0</xdr:rowOff>
    </xdr:to>
    <xdr:pic>
      <xdr:nvPicPr>
        <xdr:cNvPr id="1" name="Picture 1"/>
        <xdr:cNvPicPr preferRelativeResize="1">
          <a:picLocks noChangeAspect="1"/>
        </xdr:cNvPicPr>
      </xdr:nvPicPr>
      <xdr:blipFill>
        <a:blip r:embed="rId1"/>
        <a:srcRect r="39666"/>
        <a:stretch>
          <a:fillRect/>
        </a:stretch>
      </xdr:blipFill>
      <xdr:spPr>
        <a:xfrm>
          <a:off x="5019675" y="3695700"/>
          <a:ext cx="1857375" cy="1685925"/>
        </a:xfrm>
        <a:prstGeom prst="rect">
          <a:avLst/>
        </a:prstGeom>
        <a:noFill/>
        <a:ln w="9525" cmpd="sng">
          <a:noFill/>
        </a:ln>
      </xdr:spPr>
    </xdr:pic>
    <xdr:clientData/>
  </xdr:twoCellAnchor>
  <xdr:twoCellAnchor editAs="oneCell">
    <xdr:from>
      <xdr:col>3</xdr:col>
      <xdr:colOff>76200</xdr:colOff>
      <xdr:row>1</xdr:row>
      <xdr:rowOff>514350</xdr:rowOff>
    </xdr:from>
    <xdr:to>
      <xdr:col>6</xdr:col>
      <xdr:colOff>0</xdr:colOff>
      <xdr:row>1</xdr:row>
      <xdr:rowOff>1066800</xdr:rowOff>
    </xdr:to>
    <xdr:pic>
      <xdr:nvPicPr>
        <xdr:cNvPr id="2" name="Picture 2"/>
        <xdr:cNvPicPr preferRelativeResize="1">
          <a:picLocks noChangeAspect="1"/>
        </xdr:cNvPicPr>
      </xdr:nvPicPr>
      <xdr:blipFill>
        <a:blip r:embed="rId2"/>
        <a:stretch>
          <a:fillRect/>
        </a:stretch>
      </xdr:blipFill>
      <xdr:spPr>
        <a:xfrm>
          <a:off x="523875" y="704850"/>
          <a:ext cx="17526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20</xdr:row>
      <xdr:rowOff>47625</xdr:rowOff>
    </xdr:from>
    <xdr:to>
      <xdr:col>12</xdr:col>
      <xdr:colOff>1114425</xdr:colOff>
      <xdr:row>21</xdr:row>
      <xdr:rowOff>171450</xdr:rowOff>
    </xdr:to>
    <xdr:sp macro="[0]!leasingoffer">
      <xdr:nvSpPr>
        <xdr:cNvPr id="1" name="Rectangle 1"/>
        <xdr:cNvSpPr>
          <a:spLocks/>
        </xdr:cNvSpPr>
      </xdr:nvSpPr>
      <xdr:spPr>
        <a:xfrm>
          <a:off x="7324725" y="3990975"/>
          <a:ext cx="10763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22</xdr:row>
      <xdr:rowOff>47625</xdr:rowOff>
    </xdr:from>
    <xdr:to>
      <xdr:col>13</xdr:col>
      <xdr:colOff>28575</xdr:colOff>
      <xdr:row>23</xdr:row>
      <xdr:rowOff>171450</xdr:rowOff>
    </xdr:to>
    <xdr:sp macro="[0]!financing_offer">
      <xdr:nvSpPr>
        <xdr:cNvPr id="2" name="Rectangle 2"/>
        <xdr:cNvSpPr>
          <a:spLocks/>
        </xdr:cNvSpPr>
      </xdr:nvSpPr>
      <xdr:spPr>
        <a:xfrm>
          <a:off x="7296150" y="4333875"/>
          <a:ext cx="1133475"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38100</xdr:colOff>
      <xdr:row>1</xdr:row>
      <xdr:rowOff>0</xdr:rowOff>
    </xdr:from>
    <xdr:to>
      <xdr:col>5</xdr:col>
      <xdr:colOff>0</xdr:colOff>
      <xdr:row>1</xdr:row>
      <xdr:rowOff>657225</xdr:rowOff>
    </xdr:to>
    <xdr:pic>
      <xdr:nvPicPr>
        <xdr:cNvPr id="3" name="Picture 2"/>
        <xdr:cNvPicPr preferRelativeResize="1">
          <a:picLocks noChangeAspect="1"/>
        </xdr:cNvPicPr>
      </xdr:nvPicPr>
      <xdr:blipFill>
        <a:blip r:embed="rId1"/>
        <a:stretch>
          <a:fillRect/>
        </a:stretch>
      </xdr:blipFill>
      <xdr:spPr>
        <a:xfrm>
          <a:off x="485775" y="190500"/>
          <a:ext cx="179070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7</xdr:row>
      <xdr:rowOff>57150</xdr:rowOff>
    </xdr:from>
    <xdr:to>
      <xdr:col>17</xdr:col>
      <xdr:colOff>1438275</xdr:colOff>
      <xdr:row>8</xdr:row>
      <xdr:rowOff>9525</xdr:rowOff>
    </xdr:to>
    <xdr:sp macro="[0]!leasing">
      <xdr:nvSpPr>
        <xdr:cNvPr id="1" name="Rectangle 2"/>
        <xdr:cNvSpPr>
          <a:spLocks/>
        </xdr:cNvSpPr>
      </xdr:nvSpPr>
      <xdr:spPr>
        <a:xfrm>
          <a:off x="11639550" y="5734050"/>
          <a:ext cx="1343025"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xdr:row>
      <xdr:rowOff>38100</xdr:rowOff>
    </xdr:from>
    <xdr:to>
      <xdr:col>18</xdr:col>
      <xdr:colOff>47625</xdr:colOff>
      <xdr:row>8</xdr:row>
      <xdr:rowOff>419100</xdr:rowOff>
    </xdr:to>
    <xdr:sp macro="[0]!Financing">
      <xdr:nvSpPr>
        <xdr:cNvPr id="2" name="Rectangle 3"/>
        <xdr:cNvSpPr>
          <a:spLocks/>
        </xdr:cNvSpPr>
      </xdr:nvSpPr>
      <xdr:spPr>
        <a:xfrm>
          <a:off x="11544300" y="6134100"/>
          <a:ext cx="14859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542925</xdr:colOff>
      <xdr:row>19</xdr:row>
      <xdr:rowOff>171450</xdr:rowOff>
    </xdr:from>
    <xdr:ext cx="8763000" cy="4495800"/>
    <xdr:sp>
      <xdr:nvSpPr>
        <xdr:cNvPr id="1" name="Rectangle 1"/>
        <xdr:cNvSpPr>
          <a:spLocks/>
        </xdr:cNvSpPr>
      </xdr:nvSpPr>
      <xdr:spPr>
        <a:xfrm rot="1587669">
          <a:off x="876300" y="4276725"/>
          <a:ext cx="8763000" cy="4495800"/>
        </a:xfrm>
        <a:prstGeom prst="rect">
          <a:avLst/>
        </a:prstGeom>
        <a:noFill/>
        <a:ln w="9525" cmpd="sng">
          <a:noFill/>
        </a:ln>
      </xdr:spPr>
      <xdr:txBody>
        <a:bodyPr vertOverflow="clip" wrap="square"/>
        <a:p>
          <a:pPr algn="ctr">
            <a:defRPr/>
          </a:pPr>
          <a:r>
            <a:rPr lang="en-US" cap="none" sz="28700" b="1" i="0" u="none" baseline="0"/>
            <a:t>HOST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5">
    <tabColor rgb="FFFFFF00"/>
    <pageSetUpPr fitToPage="1"/>
  </sheetPr>
  <dimension ref="A1:T98"/>
  <sheetViews>
    <sheetView showGridLines="0" showRowColHeaders="0" tabSelected="1" zoomScale="115" zoomScaleNormal="115" zoomScalePageLayoutView="0" workbookViewId="0" topLeftCell="A1">
      <selection activeCell="H9" sqref="H9"/>
    </sheetView>
  </sheetViews>
  <sheetFormatPr defaultColWidth="11.421875" defaultRowHeight="12.75"/>
  <cols>
    <col min="1" max="1" width="6.7109375" style="75" customWidth="1"/>
    <col min="2" max="3" width="2.7109375" style="75" hidden="1" customWidth="1"/>
    <col min="4" max="4" width="9.140625" style="117" customWidth="1"/>
    <col min="5" max="7" width="9.140625" style="75" customWidth="1"/>
    <col min="8" max="8" width="13.7109375" style="75" customWidth="1"/>
    <col min="9" max="10" width="9.140625" style="75" customWidth="1"/>
    <col min="11" max="11" width="27.421875" style="75" customWidth="1"/>
    <col min="12" max="13" width="9.140625" style="75" customWidth="1"/>
    <col min="14" max="14" width="13.7109375" style="75" customWidth="1"/>
    <col min="15" max="16" width="9.140625" style="75" customWidth="1"/>
    <col min="17" max="17" width="8.28125" style="75" customWidth="1"/>
    <col min="18" max="18" width="11.421875" style="75" customWidth="1"/>
    <col min="19" max="20" width="13.57421875" style="75" customWidth="1"/>
    <col min="21" max="16384" width="11.421875" style="75" customWidth="1"/>
  </cols>
  <sheetData>
    <row r="1" spans="1:18" s="45" customFormat="1" ht="15">
      <c r="A1" s="41"/>
      <c r="B1" s="41"/>
      <c r="C1" s="42"/>
      <c r="D1" s="43"/>
      <c r="E1" s="42"/>
      <c r="F1" s="42"/>
      <c r="G1" s="42"/>
      <c r="H1" s="42"/>
      <c r="I1" s="42"/>
      <c r="J1" s="42"/>
      <c r="K1" s="42"/>
      <c r="L1" s="42"/>
      <c r="M1" s="42"/>
      <c r="N1" s="42"/>
      <c r="O1" s="42"/>
      <c r="P1" s="42"/>
      <c r="Q1" s="42"/>
      <c r="R1" s="44"/>
    </row>
    <row r="2" spans="1:18" s="45" customFormat="1" ht="84" customHeight="1">
      <c r="A2" s="41"/>
      <c r="B2" s="41"/>
      <c r="C2" s="42"/>
      <c r="D2" s="43"/>
      <c r="E2" s="42"/>
      <c r="F2" s="46"/>
      <c r="G2" s="47"/>
      <c r="H2" s="46" t="s">
        <v>0</v>
      </c>
      <c r="I2" s="47"/>
      <c r="J2" s="47"/>
      <c r="K2" s="47"/>
      <c r="L2" s="47"/>
      <c r="M2" s="47"/>
      <c r="N2" s="48" t="s">
        <v>73</v>
      </c>
      <c r="O2" s="42"/>
      <c r="P2" s="42"/>
      <c r="Q2" s="42"/>
      <c r="R2" s="44"/>
    </row>
    <row r="3" spans="1:18" s="45" customFormat="1" ht="15" customHeight="1" hidden="1">
      <c r="A3" s="41"/>
      <c r="B3" s="41"/>
      <c r="C3" s="41"/>
      <c r="D3" s="43"/>
      <c r="E3" s="42"/>
      <c r="F3" s="42"/>
      <c r="G3" s="42"/>
      <c r="H3" s="42"/>
      <c r="I3" s="42"/>
      <c r="J3" s="42"/>
      <c r="K3" s="42"/>
      <c r="L3" s="42"/>
      <c r="M3" s="42"/>
      <c r="N3" s="42"/>
      <c r="O3" s="42"/>
      <c r="P3" s="42"/>
      <c r="Q3" s="42"/>
      <c r="R3" s="44"/>
    </row>
    <row r="4" spans="1:18" s="45" customFormat="1" ht="15" customHeight="1" hidden="1">
      <c r="A4" s="49"/>
      <c r="B4" s="49"/>
      <c r="C4" s="49"/>
      <c r="D4" s="50"/>
      <c r="E4" s="47"/>
      <c r="F4" s="46"/>
      <c r="G4" s="47"/>
      <c r="H4" s="47"/>
      <c r="I4" s="47"/>
      <c r="J4" s="47"/>
      <c r="K4" s="47"/>
      <c r="L4" s="47"/>
      <c r="M4" s="47"/>
      <c r="N4" s="48"/>
      <c r="O4" s="42"/>
      <c r="P4" s="42"/>
      <c r="Q4" s="42"/>
      <c r="R4" s="44"/>
    </row>
    <row r="5" spans="1:18" s="45" customFormat="1" ht="15" customHeight="1">
      <c r="A5" s="41"/>
      <c r="B5" s="41"/>
      <c r="C5" s="42"/>
      <c r="D5" s="43"/>
      <c r="E5" s="42"/>
      <c r="F5" s="42"/>
      <c r="G5" s="42"/>
      <c r="H5" s="42"/>
      <c r="I5" s="42"/>
      <c r="J5" s="42"/>
      <c r="K5" s="42"/>
      <c r="L5" s="42"/>
      <c r="M5" s="42"/>
      <c r="N5" s="42"/>
      <c r="O5" s="42"/>
      <c r="P5" s="42"/>
      <c r="Q5" s="42"/>
      <c r="R5" s="44"/>
    </row>
    <row r="6" spans="1:18" s="45" customFormat="1" ht="15" customHeight="1">
      <c r="A6" s="41"/>
      <c r="B6" s="41"/>
      <c r="C6" s="42"/>
      <c r="D6" s="51"/>
      <c r="E6" s="47"/>
      <c r="F6" s="47"/>
      <c r="G6" s="47"/>
      <c r="H6" s="42"/>
      <c r="I6" s="42"/>
      <c r="J6" s="52"/>
      <c r="K6" s="52"/>
      <c r="L6" s="52"/>
      <c r="M6" s="52"/>
      <c r="N6" s="52"/>
      <c r="O6" s="52"/>
      <c r="P6" s="52"/>
      <c r="Q6" s="52"/>
      <c r="R6" s="44"/>
    </row>
    <row r="7" spans="1:18" s="45" customFormat="1" ht="15" customHeight="1">
      <c r="A7" s="41"/>
      <c r="B7" s="41"/>
      <c r="C7" s="42"/>
      <c r="D7" s="53" t="s">
        <v>2</v>
      </c>
      <c r="E7" s="54"/>
      <c r="F7" s="55"/>
      <c r="G7" s="56"/>
      <c r="H7" s="57">
        <v>0</v>
      </c>
      <c r="I7" s="58"/>
      <c r="J7" s="58"/>
      <c r="K7" s="59"/>
      <c r="L7" s="59"/>
      <c r="M7" s="59"/>
      <c r="N7" s="59"/>
      <c r="O7" s="59"/>
      <c r="P7" s="59"/>
      <c r="Q7" s="60"/>
      <c r="R7" s="44"/>
    </row>
    <row r="8" spans="1:18" s="45" customFormat="1" ht="15" customHeight="1" thickBot="1">
      <c r="A8" s="41"/>
      <c r="B8" s="41"/>
      <c r="C8" s="42"/>
      <c r="D8" s="53"/>
      <c r="E8" s="54"/>
      <c r="F8" s="55"/>
      <c r="G8" s="56"/>
      <c r="H8" s="61" t="s">
        <v>42</v>
      </c>
      <c r="I8" s="62"/>
      <c r="J8" s="63" t="s">
        <v>1</v>
      </c>
      <c r="K8" s="63"/>
      <c r="L8" s="63"/>
      <c r="M8" s="63"/>
      <c r="N8" s="63"/>
      <c r="O8" s="63"/>
      <c r="P8" s="63"/>
      <c r="Q8" s="63" t="s">
        <v>1</v>
      </c>
      <c r="R8" s="44"/>
    </row>
    <row r="9" spans="3:18" s="45" customFormat="1" ht="21" customHeight="1">
      <c r="C9" s="44"/>
      <c r="D9" s="64" t="s">
        <v>55</v>
      </c>
      <c r="E9" s="65"/>
      <c r="F9" s="65"/>
      <c r="G9" s="66"/>
      <c r="H9" s="67">
        <v>50000</v>
      </c>
      <c r="I9" s="233">
        <f>0.5*H9</f>
        <v>25000</v>
      </c>
      <c r="K9" s="68" t="s">
        <v>69</v>
      </c>
      <c r="L9" s="68" t="s">
        <v>81</v>
      </c>
      <c r="M9" s="69"/>
      <c r="N9" s="70"/>
      <c r="O9" s="71"/>
      <c r="P9" s="70"/>
      <c r="Q9" s="70"/>
      <c r="R9" s="44"/>
    </row>
    <row r="10" spans="3:18" s="45" customFormat="1" ht="21" customHeight="1" thickBot="1">
      <c r="C10" s="44"/>
      <c r="D10" s="72"/>
      <c r="E10" s="65"/>
      <c r="F10" s="65"/>
      <c r="G10" s="66"/>
      <c r="H10" s="73"/>
      <c r="I10" s="74"/>
      <c r="J10" s="75"/>
      <c r="K10" s="74"/>
      <c r="L10" s="74"/>
      <c r="M10" s="74"/>
      <c r="N10" s="74"/>
      <c r="O10" s="76"/>
      <c r="P10" s="75"/>
      <c r="Q10" s="75"/>
      <c r="R10" s="44"/>
    </row>
    <row r="11" spans="3:18" s="45" customFormat="1" ht="21" customHeight="1">
      <c r="C11" s="44"/>
      <c r="D11" s="64" t="s">
        <v>50</v>
      </c>
      <c r="E11" s="65"/>
      <c r="F11" s="65"/>
      <c r="G11" s="66"/>
      <c r="H11" s="77">
        <v>0.0749</v>
      </c>
      <c r="I11" s="78" t="s">
        <v>3</v>
      </c>
      <c r="K11" s="66" t="s">
        <v>54</v>
      </c>
      <c r="L11" s="79"/>
      <c r="M11" s="80" t="str">
        <f>IF(H17=0,H13&amp;" x ",H13-1&amp;" x ")</f>
        <v>48 x </v>
      </c>
      <c r="N11" s="81">
        <f>IF(H11=0,'Leasing - 0%'!B26,IF(H17&gt;0,'Leasing - m. 1.gr.Rate BQS'!B26,'Leasing - o. 1.gr.Rate BQS'!B26))</f>
        <v>1254.0500000000002</v>
      </c>
      <c r="O11" s="82"/>
      <c r="P11" s="82"/>
      <c r="Q11" s="83"/>
      <c r="R11" s="44"/>
    </row>
    <row r="12" spans="3:18" s="45" customFormat="1" ht="21" customHeight="1" thickBot="1">
      <c r="C12" s="44"/>
      <c r="D12" s="64"/>
      <c r="E12" s="65"/>
      <c r="F12" s="65"/>
      <c r="G12" s="66"/>
      <c r="H12" s="73" t="s">
        <v>1</v>
      </c>
      <c r="I12" s="74"/>
      <c r="K12" s="84"/>
      <c r="L12" s="79"/>
      <c r="M12" s="85"/>
      <c r="N12" s="86">
        <f>IF(H11=0,0,IF(H17&gt;0,'Leasing - m. 1.gr.Rate BQS'!B29,'Leasing - o. 1.gr.Rate BQS'!B29))</f>
        <v>1950.800000000001</v>
      </c>
      <c r="O12" s="75"/>
      <c r="P12" s="75"/>
      <c r="Q12" s="75"/>
      <c r="R12" s="44"/>
    </row>
    <row r="13" spans="3:18" s="45" customFormat="1" ht="21" customHeight="1">
      <c r="C13" s="44"/>
      <c r="D13" s="64" t="s">
        <v>51</v>
      </c>
      <c r="E13" s="65"/>
      <c r="F13" s="84"/>
      <c r="G13" s="66"/>
      <c r="H13" s="87">
        <v>48</v>
      </c>
      <c r="I13" s="78"/>
      <c r="J13" s="44"/>
      <c r="K13" s="66" t="s">
        <v>58</v>
      </c>
      <c r="L13" s="65"/>
      <c r="M13" s="80" t="str">
        <f>IF(H17=0,H13&amp;" x ",H13-1&amp;" x ")</f>
        <v>48 x </v>
      </c>
      <c r="N13" s="81">
        <f>IF(H11=0,'Leasing - 0%'!B24,IF(H17&gt;0,'Leasing - m. 1.gr.Rate BQS'!B24,'Leasing - o. 1.gr.Rate BQS'!B24))</f>
        <v>1183.4</v>
      </c>
      <c r="O13" s="88"/>
      <c r="P13" s="88"/>
      <c r="Q13" s="89" t="s">
        <v>1</v>
      </c>
      <c r="R13" s="44"/>
    </row>
    <row r="14" spans="3:18" s="45" customFormat="1" ht="21" customHeight="1" thickBot="1">
      <c r="C14" s="44"/>
      <c r="D14" s="64"/>
      <c r="E14" s="65"/>
      <c r="F14" s="65"/>
      <c r="G14" s="66"/>
      <c r="H14" s="73"/>
      <c r="I14" s="74"/>
      <c r="J14" s="75"/>
      <c r="K14" s="90"/>
      <c r="L14" s="90"/>
      <c r="M14" s="90"/>
      <c r="N14" s="90"/>
      <c r="O14" s="75"/>
      <c r="P14" s="75"/>
      <c r="Q14" s="75"/>
      <c r="R14" s="44"/>
    </row>
    <row r="15" spans="3:18" s="45" customFormat="1" ht="21" customHeight="1">
      <c r="C15" s="44"/>
      <c r="D15" s="64" t="s">
        <v>52</v>
      </c>
      <c r="E15" s="65"/>
      <c r="F15" s="65"/>
      <c r="G15" s="66"/>
      <c r="H15" s="67">
        <v>1000</v>
      </c>
      <c r="I15" s="74"/>
      <c r="J15" s="91"/>
      <c r="K15" s="92"/>
      <c r="L15" s="92"/>
      <c r="M15" s="92"/>
      <c r="N15" s="92"/>
      <c r="O15" s="70"/>
      <c r="P15" s="70"/>
      <c r="Q15" s="70"/>
      <c r="R15" s="44"/>
    </row>
    <row r="16" spans="3:18" s="45" customFormat="1" ht="21" customHeight="1" thickBot="1">
      <c r="C16" s="44"/>
      <c r="D16" s="64"/>
      <c r="E16" s="65"/>
      <c r="F16" s="65"/>
      <c r="G16" s="66"/>
      <c r="H16" s="93"/>
      <c r="I16" s="74"/>
      <c r="J16" s="94"/>
      <c r="K16" s="95"/>
      <c r="L16" s="95"/>
      <c r="M16" s="95"/>
      <c r="N16" s="95"/>
      <c r="O16" s="96"/>
      <c r="P16" s="96"/>
      <c r="Q16" s="96"/>
      <c r="R16" s="44"/>
    </row>
    <row r="17" spans="3:18" s="45" customFormat="1" ht="21" customHeight="1">
      <c r="C17" s="44"/>
      <c r="D17" s="64" t="s">
        <v>53</v>
      </c>
      <c r="E17" s="66"/>
      <c r="F17" s="97"/>
      <c r="G17" s="98"/>
      <c r="H17" s="67">
        <v>0</v>
      </c>
      <c r="I17" s="78"/>
      <c r="J17" s="94"/>
      <c r="K17" s="95"/>
      <c r="L17" s="99"/>
      <c r="M17" s="99"/>
      <c r="N17" s="99"/>
      <c r="O17" s="100"/>
      <c r="P17" s="100"/>
      <c r="Q17" s="100"/>
      <c r="R17" s="44"/>
    </row>
    <row r="18" spans="3:18" s="45" customFormat="1" ht="17.25" customHeight="1">
      <c r="C18" s="44"/>
      <c r="D18" s="65"/>
      <c r="E18" s="65"/>
      <c r="F18" s="65"/>
      <c r="G18" s="65"/>
      <c r="H18" s="97"/>
      <c r="I18" s="78"/>
      <c r="J18" s="94"/>
      <c r="K18" s="66" t="s">
        <v>72</v>
      </c>
      <c r="L18" s="99"/>
      <c r="M18" s="99"/>
      <c r="N18" s="99"/>
      <c r="O18" s="100"/>
      <c r="P18" s="100"/>
      <c r="Q18" s="100"/>
      <c r="R18" s="44"/>
    </row>
    <row r="19" spans="3:18" s="45" customFormat="1" ht="17.25" customHeight="1">
      <c r="C19" s="44"/>
      <c r="D19" s="234" t="s">
        <v>121</v>
      </c>
      <c r="E19" s="65"/>
      <c r="F19" s="65"/>
      <c r="G19" s="65"/>
      <c r="H19" s="101"/>
      <c r="I19" s="78"/>
      <c r="J19" s="94"/>
      <c r="K19" s="66" t="s">
        <v>76</v>
      </c>
      <c r="L19" s="99"/>
      <c r="M19" s="99"/>
      <c r="N19" s="99"/>
      <c r="O19" s="102"/>
      <c r="P19" s="100"/>
      <c r="Q19" s="100"/>
      <c r="R19" s="44"/>
    </row>
    <row r="20" spans="3:20" s="45" customFormat="1" ht="17.25" customHeight="1">
      <c r="C20" s="44"/>
      <c r="D20" s="44"/>
      <c r="E20" s="103"/>
      <c r="F20" s="104"/>
      <c r="G20" s="105"/>
      <c r="H20" s="103"/>
      <c r="I20" s="96"/>
      <c r="J20" s="91"/>
      <c r="K20" s="66" t="s">
        <v>75</v>
      </c>
      <c r="L20" s="92"/>
      <c r="M20" s="92"/>
      <c r="N20" s="92"/>
      <c r="O20" s="107"/>
      <c r="P20" s="107"/>
      <c r="Q20" s="107"/>
      <c r="R20" s="42"/>
      <c r="S20" s="41"/>
      <c r="T20" s="41"/>
    </row>
    <row r="21" spans="3:20" s="45" customFormat="1" ht="17.25" customHeight="1">
      <c r="C21" s="44"/>
      <c r="D21" s="108" t="s">
        <v>122</v>
      </c>
      <c r="F21" s="109">
        <f>IF(H11=0,0,EFFECT(H11,12))</f>
        <v>0.07752550981101214</v>
      </c>
      <c r="G21" s="105"/>
      <c r="H21" s="44"/>
      <c r="I21" s="96"/>
      <c r="J21" s="110"/>
      <c r="K21" s="106" t="s">
        <v>74</v>
      </c>
      <c r="L21" s="111"/>
      <c r="M21" s="111"/>
      <c r="N21" s="111"/>
      <c r="O21" s="112"/>
      <c r="P21" s="112"/>
      <c r="Q21" s="113"/>
      <c r="R21" s="42"/>
      <c r="S21" s="41"/>
      <c r="T21" s="41"/>
    </row>
    <row r="22" spans="3:20" s="45" customFormat="1" ht="17.25" customHeight="1">
      <c r="C22" s="44"/>
      <c r="G22" s="44"/>
      <c r="H22" s="44"/>
      <c r="J22" s="114"/>
      <c r="K22" s="41"/>
      <c r="L22" s="99"/>
      <c r="M22" s="232"/>
      <c r="N22" s="236" t="s">
        <v>123</v>
      </c>
      <c r="O22" s="102"/>
      <c r="P22" s="102"/>
      <c r="Q22" s="102"/>
      <c r="R22" s="42"/>
      <c r="S22" s="41"/>
      <c r="T22" s="41"/>
    </row>
    <row r="23" spans="3:18" s="115" customFormat="1" ht="18.75">
      <c r="C23" s="116"/>
      <c r="D23" s="117"/>
      <c r="E23" s="75"/>
      <c r="F23" s="75"/>
      <c r="G23" s="75"/>
      <c r="I23" s="44"/>
      <c r="J23" s="94"/>
      <c r="K23" s="118"/>
      <c r="L23" s="118"/>
      <c r="M23" s="118"/>
      <c r="N23" s="118"/>
      <c r="O23" s="42"/>
      <c r="P23" s="42"/>
      <c r="Q23" s="75"/>
      <c r="R23" s="116"/>
    </row>
    <row r="24" spans="3:18" s="45" customFormat="1" ht="18.75">
      <c r="C24" s="44"/>
      <c r="D24" s="119"/>
      <c r="E24" s="75"/>
      <c r="F24" s="44"/>
      <c r="G24" s="75"/>
      <c r="H24" s="120"/>
      <c r="I24" s="75"/>
      <c r="J24" s="121"/>
      <c r="L24" s="62"/>
      <c r="M24" s="62"/>
      <c r="N24" s="62"/>
      <c r="O24" s="62"/>
      <c r="P24" s="75"/>
      <c r="Q24" s="75"/>
      <c r="R24" s="44"/>
    </row>
    <row r="25" spans="3:18" s="122" customFormat="1" ht="15">
      <c r="C25" s="75"/>
      <c r="D25" s="117"/>
      <c r="E25" s="75"/>
      <c r="F25" s="75"/>
      <c r="G25" s="75"/>
      <c r="H25" s="75"/>
      <c r="I25" s="75"/>
      <c r="J25" s="123" t="s">
        <v>1</v>
      </c>
      <c r="L25" s="123"/>
      <c r="M25" s="123"/>
      <c r="N25" s="123"/>
      <c r="O25" s="123"/>
      <c r="P25" s="123"/>
      <c r="Q25" s="75"/>
      <c r="R25" s="75"/>
    </row>
    <row r="98" ht="15" hidden="1">
      <c r="A98" s="124"/>
    </row>
  </sheetData>
  <sheetProtection password="CEB8" sheet="1" objects="1" selectLockedCells="1"/>
  <conditionalFormatting sqref="F21">
    <cfRule type="cellIs" priority="1" dxfId="14" operator="greaterThan" stopIfTrue="1">
      <formula>15</formula>
    </cfRule>
  </conditionalFormatting>
  <conditionalFormatting sqref="D21">
    <cfRule type="expression" priority="2" dxfId="14" stopIfTrue="1">
      <formula>$F$21&gt;15</formula>
    </cfRule>
  </conditionalFormatting>
  <dataValidations count="2">
    <dataValidation type="whole" allowBlank="1" showInputMessage="1" showErrorMessage="1" error="Leasing da 12 fino a 61 mesi" sqref="H13">
      <formula1>12</formula1>
      <formula2>61</formula2>
    </dataValidation>
    <dataValidation type="whole" allowBlank="1" showInputMessage="1" showErrorMessage="1" error="Il primo interesse leasing grande non deve superare il 50% del prezzo di vendita. &#10;" sqref="H17">
      <formula1>0</formula1>
      <formula2>I9</formula2>
    </dataValidation>
  </dataValidations>
  <printOptions horizontalCentered="1" verticalCentered="1"/>
  <pageMargins left="0.7" right="0.7" top="0.75" bottom="0.75" header="0.3" footer="0.3"/>
  <pageSetup fitToHeight="1" fitToWidth="1" horizontalDpi="600" verticalDpi="600" orientation="landscape" paperSize="9" scale="94" r:id="rId2"/>
  <drawing r:id="rId1"/>
</worksheet>
</file>

<file path=xl/worksheets/sheet10.xml><?xml version="1.0" encoding="utf-8"?>
<worksheet xmlns="http://schemas.openxmlformats.org/spreadsheetml/2006/main" xmlns:r="http://schemas.openxmlformats.org/officeDocument/2006/relationships">
  <sheetPr codeName="Sheet9"/>
  <dimension ref="B2:G71"/>
  <sheetViews>
    <sheetView zoomScale="75" zoomScaleNormal="75" zoomScalePageLayoutView="0" workbookViewId="0" topLeftCell="A4">
      <selection activeCell="I25" sqref="I25"/>
    </sheetView>
  </sheetViews>
  <sheetFormatPr defaultColWidth="9.140625" defaultRowHeight="12.75"/>
  <cols>
    <col min="1" max="1" width="5.00390625" style="3" customWidth="1"/>
    <col min="2" max="2" width="37.140625" style="3" customWidth="1"/>
    <col min="3" max="3" width="29.140625" style="3" customWidth="1"/>
    <col min="4" max="4" width="9.140625" style="3" customWidth="1"/>
    <col min="5" max="5" width="40.28125" style="3" customWidth="1"/>
    <col min="6" max="6" width="23.8515625" style="3" customWidth="1"/>
    <col min="7" max="7" width="6.140625" style="3" customWidth="1"/>
    <col min="8" max="8" width="22.57421875" style="3" customWidth="1"/>
    <col min="9" max="9" width="39.8515625" style="3" customWidth="1"/>
    <col min="10" max="10" width="14.8515625" style="3" customWidth="1"/>
    <col min="11" max="11" width="9.140625" style="3" customWidth="1"/>
    <col min="12" max="12" width="2.8515625" style="3" customWidth="1"/>
    <col min="13" max="13" width="30.7109375" style="3" customWidth="1"/>
    <col min="14" max="14" width="15.140625" style="3" customWidth="1"/>
    <col min="15" max="16384" width="9.140625" style="3" customWidth="1"/>
  </cols>
  <sheetData>
    <row r="1" ht="12.75" thickBot="1"/>
    <row r="2" spans="2:6" ht="7.5" customHeight="1">
      <c r="B2" s="4"/>
      <c r="C2" s="5"/>
      <c r="E2" s="4"/>
      <c r="F2" s="5"/>
    </row>
    <row r="3" spans="2:6" ht="19.5">
      <c r="B3" s="6" t="s">
        <v>43</v>
      </c>
      <c r="C3" s="7"/>
      <c r="E3" s="6" t="s">
        <v>44</v>
      </c>
      <c r="F3" s="7"/>
    </row>
    <row r="4" spans="2:6" ht="12.75" thickBot="1">
      <c r="B4" s="8"/>
      <c r="C4" s="7"/>
      <c r="E4" s="8"/>
      <c r="F4" s="7"/>
    </row>
    <row r="5" spans="2:6" ht="12">
      <c r="B5" s="9" t="s">
        <v>9</v>
      </c>
      <c r="C5" s="36">
        <v>0.081</v>
      </c>
      <c r="E5" s="9" t="s">
        <v>9</v>
      </c>
      <c r="F5" s="35">
        <f>C5</f>
        <v>0.081</v>
      </c>
    </row>
    <row r="6" spans="2:6" ht="12">
      <c r="B6" s="9" t="s">
        <v>10</v>
      </c>
      <c r="C6" s="11">
        <f>LEASING!H9</f>
        <v>50000</v>
      </c>
      <c r="E6" s="9" t="s">
        <v>10</v>
      </c>
      <c r="F6" s="34">
        <f>C6</f>
        <v>50000</v>
      </c>
    </row>
    <row r="7" spans="2:6" ht="12.75">
      <c r="B7" s="9" t="s">
        <v>11</v>
      </c>
      <c r="C7" s="12">
        <f>LEASING!H11</f>
        <v>0.0749</v>
      </c>
      <c r="E7" s="9" t="s">
        <v>11</v>
      </c>
      <c r="F7" s="10">
        <f>C7</f>
        <v>0.0749</v>
      </c>
    </row>
    <row r="8" spans="2:6" s="13" customFormat="1" ht="12">
      <c r="B8" s="14" t="s">
        <v>12</v>
      </c>
      <c r="C8" s="15">
        <f>LEASING!H15</f>
        <v>1000</v>
      </c>
      <c r="E8" s="14" t="s">
        <v>12</v>
      </c>
      <c r="F8" s="16">
        <f>C8</f>
        <v>1000</v>
      </c>
    </row>
    <row r="9" spans="2:6" s="13" customFormat="1" ht="12">
      <c r="B9" s="14" t="s">
        <v>4</v>
      </c>
      <c r="C9" s="15">
        <f>LEASING!H13</f>
        <v>48</v>
      </c>
      <c r="E9" s="14" t="s">
        <v>4</v>
      </c>
      <c r="F9" s="33">
        <f>IF(C9=61,C9,C9)</f>
        <v>48</v>
      </c>
    </row>
    <row r="10" spans="2:6" s="13" customFormat="1" ht="12.75" thickBot="1">
      <c r="B10" s="14" t="s">
        <v>13</v>
      </c>
      <c r="C10" s="17">
        <f>LEASING!H17</f>
        <v>0</v>
      </c>
      <c r="E10" s="14" t="s">
        <v>13</v>
      </c>
      <c r="F10" s="16">
        <f>C10</f>
        <v>0</v>
      </c>
    </row>
    <row r="11" spans="2:6" ht="12">
      <c r="B11" s="8"/>
      <c r="C11" s="7"/>
      <c r="E11" s="8"/>
      <c r="F11" s="7"/>
    </row>
    <row r="12" spans="2:6" ht="12.75">
      <c r="B12" s="2" t="s">
        <v>5</v>
      </c>
      <c r="C12" s="7"/>
      <c r="E12" s="2" t="s">
        <v>5</v>
      </c>
      <c r="F12" s="7"/>
    </row>
    <row r="13" spans="2:6" ht="12">
      <c r="B13" s="8" t="s">
        <v>14</v>
      </c>
      <c r="C13" s="7">
        <f>C8/(1+C5)</f>
        <v>925.0693802035153</v>
      </c>
      <c r="E13" s="8" t="s">
        <v>15</v>
      </c>
      <c r="F13" s="7">
        <f>F8/(1+F5)</f>
        <v>925.0693802035153</v>
      </c>
    </row>
    <row r="14" spans="2:6" ht="12">
      <c r="B14" s="8" t="s">
        <v>16</v>
      </c>
      <c r="C14" s="37">
        <f>C6/1.081-C13</f>
        <v>45328.39962997225</v>
      </c>
      <c r="E14" s="8" t="s">
        <v>17</v>
      </c>
      <c r="F14" s="7">
        <f>F10/(1+F5)</f>
        <v>0</v>
      </c>
    </row>
    <row r="15" spans="2:6" ht="24.75">
      <c r="B15" s="8" t="s">
        <v>18</v>
      </c>
      <c r="C15" s="7">
        <f>C9-1</f>
        <v>47</v>
      </c>
      <c r="E15" s="18" t="s">
        <v>19</v>
      </c>
      <c r="F15" s="37">
        <f>F6/1.081-F13-F14</f>
        <v>45328.39962997225</v>
      </c>
    </row>
    <row r="16" spans="2:6" ht="12">
      <c r="B16" s="8" t="s">
        <v>20</v>
      </c>
      <c r="C16" s="7">
        <f>C7/12</f>
        <v>0.006241666666666666</v>
      </c>
      <c r="E16" s="8" t="s">
        <v>20</v>
      </c>
      <c r="F16" s="7">
        <f>F7/12</f>
        <v>0.006241666666666666</v>
      </c>
    </row>
    <row r="17" spans="2:6" ht="24.75">
      <c r="B17" s="18" t="s">
        <v>21</v>
      </c>
      <c r="C17" s="7">
        <f>(C13*C16)/(1+C16)</f>
        <v>5.738159038769951</v>
      </c>
      <c r="D17" s="3" t="s">
        <v>22</v>
      </c>
      <c r="E17" s="8" t="s">
        <v>23</v>
      </c>
      <c r="F17" s="7">
        <f>F9-1</f>
        <v>47</v>
      </c>
    </row>
    <row r="18" spans="2:7" ht="37.5">
      <c r="B18" s="18" t="s">
        <v>24</v>
      </c>
      <c r="C18" s="7">
        <f>C14*((1+C16)^C15)*C16</f>
        <v>379.03464135682987</v>
      </c>
      <c r="D18" s="3" t="s">
        <v>25</v>
      </c>
      <c r="E18" s="18" t="s">
        <v>26</v>
      </c>
      <c r="F18" s="39">
        <f>F13*F9*F16/F17</f>
        <v>5.896825240616449</v>
      </c>
      <c r="G18" s="3" t="s">
        <v>22</v>
      </c>
    </row>
    <row r="19" spans="2:7" ht="49.5">
      <c r="B19" s="8" t="s">
        <v>27</v>
      </c>
      <c r="C19" s="7">
        <f>(1+C16)^C9-1</f>
        <v>0.3480631665578786</v>
      </c>
      <c r="D19" s="3" t="s">
        <v>28</v>
      </c>
      <c r="E19" s="18" t="s">
        <v>29</v>
      </c>
      <c r="F19" s="7">
        <f>F15*(1+F16)^F17*F16</f>
        <v>379.03464135682987</v>
      </c>
      <c r="G19" s="3" t="s">
        <v>25</v>
      </c>
    </row>
    <row r="20" spans="2:7" ht="25.5">
      <c r="B20" s="8" t="s">
        <v>30</v>
      </c>
      <c r="C20" s="7">
        <f>(C18/C19)+C17</f>
        <v>1094.7204983803304</v>
      </c>
      <c r="E20" s="18" t="s">
        <v>31</v>
      </c>
      <c r="F20" s="7">
        <f>(1+F16)^F17-1</f>
        <v>0.3397011982454967</v>
      </c>
      <c r="G20" s="3" t="s">
        <v>28</v>
      </c>
    </row>
    <row r="21" spans="2:6" ht="12.75">
      <c r="B21" s="8" t="s">
        <v>32</v>
      </c>
      <c r="C21" s="7">
        <f>ROUNDUP(C20,2)</f>
        <v>1094.73</v>
      </c>
      <c r="E21" s="18" t="s">
        <v>33</v>
      </c>
      <c r="F21" s="7">
        <f>(F19/F20)+F18</f>
        <v>1121.685180755652</v>
      </c>
    </row>
    <row r="22" spans="2:6" ht="12.75">
      <c r="B22" s="8" t="s">
        <v>79</v>
      </c>
      <c r="C22" s="19">
        <f>C21</f>
        <v>1094.73</v>
      </c>
      <c r="E22" s="18" t="s">
        <v>34</v>
      </c>
      <c r="F22" s="7">
        <f>ROUNDUP(F21,2)</f>
        <v>1121.69</v>
      </c>
    </row>
    <row r="23" spans="2:6" ht="12.75">
      <c r="B23" s="8"/>
      <c r="C23" s="7"/>
      <c r="E23" s="8" t="s">
        <v>79</v>
      </c>
      <c r="F23" s="19">
        <f>F22</f>
        <v>1121.69</v>
      </c>
    </row>
    <row r="24" spans="2:6" s="20" customFormat="1" ht="12.75">
      <c r="B24" s="21" t="s">
        <v>45</v>
      </c>
      <c r="C24" s="22">
        <f>MROUND((INT((C21*C5)*20+0.5)/20+C21),0.05)</f>
        <v>1183.4</v>
      </c>
      <c r="E24" s="21" t="s">
        <v>45</v>
      </c>
      <c r="F24" s="22">
        <f>MROUND((INT((F21*F5)*20+0.5)/20+F21),0.05)</f>
        <v>1212.55</v>
      </c>
    </row>
    <row r="25" spans="2:6" ht="6.75" customHeight="1">
      <c r="B25" s="8"/>
      <c r="C25" s="7"/>
      <c r="E25" s="8"/>
      <c r="F25" s="7"/>
    </row>
    <row r="26" spans="2:6" ht="12.75">
      <c r="B26" s="2" t="s">
        <v>6</v>
      </c>
      <c r="C26" s="23">
        <f>ROUND((C24+C24*5.97%)*20,0)/20</f>
        <v>1254.05</v>
      </c>
      <c r="E26" s="2" t="s">
        <v>6</v>
      </c>
      <c r="F26" s="23">
        <f>ROUND((F24+F24*5.97%)*20,0)/20</f>
        <v>1284.95</v>
      </c>
    </row>
    <row r="27" spans="2:6" ht="7.5" customHeight="1">
      <c r="B27" s="8"/>
      <c r="C27" s="7"/>
      <c r="E27" s="8"/>
      <c r="F27" s="7"/>
    </row>
    <row r="28" spans="2:6" ht="12.75">
      <c r="B28" s="1" t="s">
        <v>38</v>
      </c>
      <c r="C28" s="32">
        <f>C22*C9</f>
        <v>52547.04</v>
      </c>
      <c r="E28" s="1" t="s">
        <v>38</v>
      </c>
      <c r="F28" s="40">
        <f>F10/1.081+F23*F17</f>
        <v>52719.43</v>
      </c>
    </row>
    <row r="29" spans="2:6" ht="12.75">
      <c r="B29" s="2" t="s">
        <v>39</v>
      </c>
      <c r="C29" s="38">
        <f>(C6-C8)/1.081</f>
        <v>45328.39962997225</v>
      </c>
      <c r="E29" s="2" t="s">
        <v>39</v>
      </c>
      <c r="F29" s="38">
        <f>(F6-F8)/1.081</f>
        <v>45328.39962997225</v>
      </c>
    </row>
    <row r="30" spans="2:6" ht="12.75">
      <c r="B30" s="2"/>
      <c r="C30" s="7"/>
      <c r="E30" s="2"/>
      <c r="F30" s="7"/>
    </row>
    <row r="31" spans="2:6" ht="12.75">
      <c r="B31" s="2" t="s">
        <v>40</v>
      </c>
      <c r="C31" s="24">
        <f>ROUND((C28-C29)*20,0)/20</f>
        <v>7218.65</v>
      </c>
      <c r="E31" s="2" t="s">
        <v>40</v>
      </c>
      <c r="F31" s="24">
        <f>ROUND((F28-F29)*20,0)/20</f>
        <v>7391.05</v>
      </c>
    </row>
    <row r="32" spans="2:6" ht="12.75">
      <c r="B32" s="2" t="s">
        <v>41</v>
      </c>
      <c r="C32" s="19">
        <f>ROUND(((C31/C9)*12),2)</f>
        <v>1804.66</v>
      </c>
      <c r="E32" s="2" t="s">
        <v>41</v>
      </c>
      <c r="F32" s="19">
        <f>ROUND(((F31/F9)*12),2)</f>
        <v>1847.76</v>
      </c>
    </row>
    <row r="33" spans="2:6" ht="12.75">
      <c r="B33" s="2"/>
      <c r="C33" s="19"/>
      <c r="E33" s="2"/>
      <c r="F33" s="19"/>
    </row>
    <row r="34" spans="2:6" ht="12.75">
      <c r="B34" s="2" t="s">
        <v>46</v>
      </c>
      <c r="C34" s="30">
        <f>(1+C7/12)^12-1</f>
        <v>0.07752550981101214</v>
      </c>
      <c r="E34" s="2"/>
      <c r="F34" s="30">
        <f>(1+F7/12)^12-1</f>
        <v>0.07752550981101214</v>
      </c>
    </row>
    <row r="35" spans="2:6" ht="9.75" customHeight="1" thickBot="1">
      <c r="B35" s="26"/>
      <c r="C35" s="27"/>
      <c r="E35" s="26"/>
      <c r="F35" s="27"/>
    </row>
    <row r="36" ht="12.75"/>
    <row r="37" ht="13.5" thickBot="1">
      <c r="C37" s="28"/>
    </row>
    <row r="38" spans="2:6" ht="6.75" customHeight="1">
      <c r="B38" s="4"/>
      <c r="C38" s="29"/>
      <c r="E38" s="4"/>
      <c r="F38" s="5"/>
    </row>
    <row r="39" spans="2:6" ht="20.25">
      <c r="B39" s="245" t="s">
        <v>47</v>
      </c>
      <c r="C39" s="246"/>
      <c r="D39" s="247"/>
      <c r="E39" s="245" t="s">
        <v>48</v>
      </c>
      <c r="F39" s="246"/>
    </row>
    <row r="40" spans="2:6" ht="12.75">
      <c r="B40" s="248"/>
      <c r="C40" s="246"/>
      <c r="D40" s="247"/>
      <c r="E40" s="248"/>
      <c r="F40" s="246"/>
    </row>
    <row r="41" spans="2:6" ht="12.75">
      <c r="B41" s="249" t="s">
        <v>9</v>
      </c>
      <c r="C41" s="250">
        <f>F5</f>
        <v>0.081</v>
      </c>
      <c r="D41" s="247"/>
      <c r="E41" s="249" t="s">
        <v>9</v>
      </c>
      <c r="F41" s="250">
        <f>C41</f>
        <v>0.081</v>
      </c>
    </row>
    <row r="42" spans="2:6" ht="12.75">
      <c r="B42" s="249" t="s">
        <v>10</v>
      </c>
      <c r="C42" s="251">
        <f>F6</f>
        <v>50000</v>
      </c>
      <c r="D42" s="247"/>
      <c r="E42" s="249" t="s">
        <v>10</v>
      </c>
      <c r="F42" s="252">
        <f>C42</f>
        <v>50000</v>
      </c>
    </row>
    <row r="43" spans="2:6" ht="12.75">
      <c r="B43" s="249" t="s">
        <v>11</v>
      </c>
      <c r="C43" s="253">
        <f>C7</f>
        <v>0.0749</v>
      </c>
      <c r="D43" s="247"/>
      <c r="E43" s="249" t="s">
        <v>11</v>
      </c>
      <c r="F43" s="253">
        <f>C7</f>
        <v>0.0749</v>
      </c>
    </row>
    <row r="44" spans="2:7" ht="12.75">
      <c r="B44" s="254" t="s">
        <v>12</v>
      </c>
      <c r="C44" s="251">
        <f>F8</f>
        <v>1000</v>
      </c>
      <c r="D44" s="247"/>
      <c r="E44" s="254" t="s">
        <v>12</v>
      </c>
      <c r="F44" s="251">
        <f>C44</f>
        <v>1000</v>
      </c>
      <c r="G44" s="13"/>
    </row>
    <row r="45" spans="2:7" ht="12.75">
      <c r="B45" s="254" t="s">
        <v>4</v>
      </c>
      <c r="C45" s="251">
        <f>C9</f>
        <v>48</v>
      </c>
      <c r="D45" s="247"/>
      <c r="E45" s="254" t="s">
        <v>4</v>
      </c>
      <c r="F45" s="255">
        <f>F9</f>
        <v>48</v>
      </c>
      <c r="G45" s="13"/>
    </row>
    <row r="46" spans="2:7" ht="12.75">
      <c r="B46" s="254" t="s">
        <v>13</v>
      </c>
      <c r="C46" s="251">
        <f>C10</f>
        <v>0</v>
      </c>
      <c r="D46" s="247"/>
      <c r="E46" s="254" t="s">
        <v>13</v>
      </c>
      <c r="F46" s="251">
        <f>C46</f>
        <v>0</v>
      </c>
      <c r="G46" s="13"/>
    </row>
    <row r="47" spans="2:6" ht="9.75" customHeight="1">
      <c r="B47" s="248"/>
      <c r="C47" s="246"/>
      <c r="D47" s="247"/>
      <c r="E47" s="248"/>
      <c r="F47" s="246"/>
    </row>
    <row r="48" spans="2:6" ht="12.75">
      <c r="B48" s="256" t="s">
        <v>5</v>
      </c>
      <c r="C48" s="246"/>
      <c r="D48" s="247"/>
      <c r="E48" s="256" t="s">
        <v>5</v>
      </c>
      <c r="F48" s="246"/>
    </row>
    <row r="49" spans="2:6" ht="12">
      <c r="B49" s="248" t="s">
        <v>14</v>
      </c>
      <c r="C49" s="246">
        <f>C44/(1+C41)</f>
        <v>925.0693802035153</v>
      </c>
      <c r="D49" s="247"/>
      <c r="E49" s="248" t="s">
        <v>15</v>
      </c>
      <c r="F49" s="246">
        <f>F44/(1+F41)</f>
        <v>925.0693802035153</v>
      </c>
    </row>
    <row r="50" spans="2:6" ht="12">
      <c r="B50" s="248" t="s">
        <v>16</v>
      </c>
      <c r="C50" s="257">
        <f>C42-C49</f>
        <v>49074.93061979648</v>
      </c>
      <c r="D50" s="247"/>
      <c r="E50" s="248" t="s">
        <v>17</v>
      </c>
      <c r="F50" s="246">
        <f>F46/(1+F41)</f>
        <v>0</v>
      </c>
    </row>
    <row r="51" spans="2:6" ht="24.75">
      <c r="B51" s="248" t="s">
        <v>18</v>
      </c>
      <c r="C51" s="246">
        <f>C45-1</f>
        <v>47</v>
      </c>
      <c r="D51" s="247"/>
      <c r="E51" s="258" t="s">
        <v>19</v>
      </c>
      <c r="F51" s="257">
        <f>F42-F49-F50</f>
        <v>49074.93061979648</v>
      </c>
    </row>
    <row r="52" spans="2:6" ht="12">
      <c r="B52" s="248" t="s">
        <v>20</v>
      </c>
      <c r="C52" s="246">
        <f>C43/12</f>
        <v>0.006241666666666666</v>
      </c>
      <c r="D52" s="247"/>
      <c r="E52" s="248" t="s">
        <v>20</v>
      </c>
      <c r="F52" s="246">
        <f>F43/12</f>
        <v>0.006241666666666666</v>
      </c>
    </row>
    <row r="53" spans="2:6" ht="24.75">
      <c r="B53" s="258" t="s">
        <v>21</v>
      </c>
      <c r="C53" s="246">
        <f>(C49*C52)/(1+C52)</f>
        <v>5.738159038769951</v>
      </c>
      <c r="D53" s="247" t="s">
        <v>22</v>
      </c>
      <c r="E53" s="248" t="s">
        <v>23</v>
      </c>
      <c r="F53" s="246">
        <f>F17</f>
        <v>47</v>
      </c>
    </row>
    <row r="54" spans="2:7" ht="37.5">
      <c r="B54" s="258" t="s">
        <v>24</v>
      </c>
      <c r="C54" s="246">
        <f>C50*((1+C52)^C51)*C52</f>
        <v>410.36301477509846</v>
      </c>
      <c r="D54" s="247" t="s">
        <v>25</v>
      </c>
      <c r="E54" s="258" t="s">
        <v>26</v>
      </c>
      <c r="F54" s="246">
        <f>F49*F45*F52/F53</f>
        <v>5.896825240616449</v>
      </c>
      <c r="G54" s="3" t="s">
        <v>22</v>
      </c>
    </row>
    <row r="55" spans="2:7" ht="49.5">
      <c r="B55" s="248" t="s">
        <v>27</v>
      </c>
      <c r="C55" s="246">
        <f>(1+C52)^C45-1</f>
        <v>0.3480631665578786</v>
      </c>
      <c r="D55" s="247" t="s">
        <v>28</v>
      </c>
      <c r="E55" s="258" t="s">
        <v>29</v>
      </c>
      <c r="F55" s="246">
        <f>F51*(1+F52)^F53*F52</f>
        <v>410.36301477509846</v>
      </c>
      <c r="G55" s="3" t="s">
        <v>25</v>
      </c>
    </row>
    <row r="56" spans="2:7" ht="24.75">
      <c r="B56" s="248" t="s">
        <v>30</v>
      </c>
      <c r="C56" s="246">
        <f>(C54/C55)+C53</f>
        <v>1184.7282223463167</v>
      </c>
      <c r="D56" s="247"/>
      <c r="E56" s="258" t="s">
        <v>31</v>
      </c>
      <c r="F56" s="246">
        <f>(1+F52)^F53-1</f>
        <v>0.3397011982454967</v>
      </c>
      <c r="G56" s="3" t="s">
        <v>28</v>
      </c>
    </row>
    <row r="57" spans="2:6" ht="12">
      <c r="B57" s="248" t="s">
        <v>32</v>
      </c>
      <c r="C57" s="246">
        <f>ROUNDUP(C56,2)</f>
        <v>1184.73</v>
      </c>
      <c r="D57" s="247"/>
      <c r="E57" s="258" t="s">
        <v>33</v>
      </c>
      <c r="F57" s="246">
        <f>(F55/F56)+F54</f>
        <v>1213.908504017609</v>
      </c>
    </row>
    <row r="58" spans="2:6" ht="12">
      <c r="B58" s="248" t="s">
        <v>80</v>
      </c>
      <c r="C58" s="246">
        <f>C57</f>
        <v>1184.73</v>
      </c>
      <c r="D58" s="247"/>
      <c r="E58" s="258" t="s">
        <v>34</v>
      </c>
      <c r="F58" s="246">
        <f>ROUNDUP(F57,2)</f>
        <v>1213.91</v>
      </c>
    </row>
    <row r="59" spans="2:6" ht="12">
      <c r="B59" s="248"/>
      <c r="C59" s="246"/>
      <c r="D59" s="247"/>
      <c r="E59" s="248" t="s">
        <v>79</v>
      </c>
      <c r="F59" s="259">
        <f>F58</f>
        <v>1213.91</v>
      </c>
    </row>
    <row r="60" spans="2:7" ht="15.75" customHeight="1">
      <c r="B60" s="260" t="s">
        <v>45</v>
      </c>
      <c r="C60" s="261">
        <f>INT((C58*C41)*20+0.5)/20+C58</f>
        <v>1280.68</v>
      </c>
      <c r="D60" s="247"/>
      <c r="E60" s="260" t="s">
        <v>45</v>
      </c>
      <c r="F60" s="261">
        <f>INT((F59*F41)*20+0.5)/20+F59</f>
        <v>1312.26</v>
      </c>
      <c r="G60" s="20"/>
    </row>
    <row r="61" spans="2:6" ht="12">
      <c r="B61" s="248"/>
      <c r="C61" s="246"/>
      <c r="D61" s="247"/>
      <c r="E61" s="248"/>
      <c r="F61" s="246"/>
    </row>
    <row r="62" spans="2:6" ht="12.75">
      <c r="B62" s="256" t="s">
        <v>6</v>
      </c>
      <c r="C62" s="262">
        <f>ROUND((C60+C60*5.97%)*20,0)/20</f>
        <v>1357.15</v>
      </c>
      <c r="D62" s="247"/>
      <c r="E62" s="256" t="s">
        <v>6</v>
      </c>
      <c r="F62" s="262">
        <f>ROUND((F60+F60*5.97%)*20,0)/20</f>
        <v>1390.6</v>
      </c>
    </row>
    <row r="63" spans="2:6" ht="12">
      <c r="B63" s="248"/>
      <c r="C63" s="246"/>
      <c r="D63" s="247"/>
      <c r="E63" s="248"/>
      <c r="F63" s="246"/>
    </row>
    <row r="64" spans="2:6" ht="12.75">
      <c r="B64" s="263" t="s">
        <v>38</v>
      </c>
      <c r="C64" s="264">
        <f>C58*C45</f>
        <v>56867.04</v>
      </c>
      <c r="D64" s="247"/>
      <c r="E64" s="263" t="s">
        <v>38</v>
      </c>
      <c r="F64" s="265">
        <f>F46/1.081+F59*F53</f>
        <v>57053.770000000004</v>
      </c>
    </row>
    <row r="65" spans="2:6" ht="12.75">
      <c r="B65" s="256" t="s">
        <v>39</v>
      </c>
      <c r="C65" s="265">
        <f>C42-C44/1.081</f>
        <v>49074.93061979648</v>
      </c>
      <c r="D65" s="247"/>
      <c r="E65" s="256" t="s">
        <v>39</v>
      </c>
      <c r="F65" s="265">
        <f>F42-F44/1.081</f>
        <v>49074.93061979648</v>
      </c>
    </row>
    <row r="66" spans="2:6" ht="12.75">
      <c r="B66" s="256"/>
      <c r="C66" s="246"/>
      <c r="D66" s="247"/>
      <c r="E66" s="256"/>
      <c r="F66" s="246"/>
    </row>
    <row r="67" spans="2:6" ht="12.75">
      <c r="B67" s="256" t="s">
        <v>40</v>
      </c>
      <c r="C67" s="266">
        <f>ROUND((C64-C65)*20,0)/20+(C60-C58)*(C51+1)+C46-C46/1.081</f>
        <v>12397.700000000003</v>
      </c>
      <c r="D67" s="247"/>
      <c r="E67" s="256" t="s">
        <v>40</v>
      </c>
      <c r="F67" s="266">
        <f>ROUND((F64-F65)*20,0)/20+(F60-F59)*F53+F46-F46/1.081</f>
        <v>12601.299999999996</v>
      </c>
    </row>
    <row r="68" spans="2:6" ht="12.75">
      <c r="B68" s="256" t="s">
        <v>41</v>
      </c>
      <c r="C68" s="259">
        <f>ROUND(((C67/C45)*12),2)</f>
        <v>3099.43</v>
      </c>
      <c r="D68" s="247"/>
      <c r="E68" s="256" t="s">
        <v>41</v>
      </c>
      <c r="F68" s="259">
        <f>ROUND(((F67/F45)*12),2)</f>
        <v>3150.33</v>
      </c>
    </row>
    <row r="69" spans="2:6" ht="12.75">
      <c r="B69" s="256"/>
      <c r="C69" s="259"/>
      <c r="D69" s="247"/>
      <c r="E69" s="256"/>
      <c r="F69" s="259"/>
    </row>
    <row r="70" spans="2:6" ht="12.75">
      <c r="B70" s="2" t="s">
        <v>46</v>
      </c>
      <c r="C70" s="30"/>
      <c r="D70" s="25"/>
      <c r="E70" s="31"/>
      <c r="F70" s="30"/>
    </row>
    <row r="71" spans="2:6" ht="7.5" customHeight="1" thickBot="1">
      <c r="B71" s="26"/>
      <c r="C71" s="27"/>
      <c r="E71" s="26"/>
      <c r="F71" s="27"/>
    </row>
  </sheetData>
  <sheetProtection/>
  <printOptions/>
  <pageMargins left="0.75" right="0.75" top="1" bottom="1" header="0.5" footer="0.5"/>
  <pageSetup horizontalDpi="600" verticalDpi="600" orientation="portrait" paperSize="9" r:id="rId2"/>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codeName="Sheet16">
    <tabColor rgb="FFFF66CC"/>
    <pageSetUpPr fitToPage="1"/>
  </sheetPr>
  <dimension ref="A1:X99"/>
  <sheetViews>
    <sheetView showGridLines="0" showRowColHeaders="0" zoomScalePageLayoutView="0" workbookViewId="0" topLeftCell="A1">
      <selection activeCell="I15" sqref="I15"/>
    </sheetView>
  </sheetViews>
  <sheetFormatPr defaultColWidth="11.421875" defaultRowHeight="12.75"/>
  <cols>
    <col min="1" max="1" width="6.7109375" style="146" customWidth="1"/>
    <col min="2" max="3" width="2.7109375" style="146" hidden="1" customWidth="1"/>
    <col min="4" max="4" width="9.140625" style="164" customWidth="1"/>
    <col min="5" max="7" width="9.140625" style="154" customWidth="1"/>
    <col min="8" max="8" width="3.421875" style="154" hidden="1" customWidth="1"/>
    <col min="9" max="9" width="13.7109375" style="154" customWidth="1"/>
    <col min="10" max="11" width="9.140625" style="154" customWidth="1"/>
    <col min="12" max="12" width="18.7109375" style="154" customWidth="1"/>
    <col min="13" max="14" width="9.140625" style="154" customWidth="1"/>
    <col min="15" max="15" width="13.7109375" style="154" customWidth="1"/>
    <col min="16" max="18" width="8.28125" style="154" customWidth="1"/>
    <col min="19" max="19" width="2.57421875" style="146" customWidth="1"/>
    <col min="20" max="24" width="11.421875" style="154" customWidth="1"/>
    <col min="25" max="26" width="11.421875" style="146" customWidth="1"/>
    <col min="27" max="28" width="13.57421875" style="146" customWidth="1"/>
    <col min="29" max="16384" width="11.421875" style="146" customWidth="1"/>
  </cols>
  <sheetData>
    <row r="1" spans="3:24" s="125" customFormat="1" ht="15">
      <c r="C1" s="126"/>
      <c r="D1" s="127"/>
      <c r="E1" s="128"/>
      <c r="F1" s="128"/>
      <c r="G1" s="128"/>
      <c r="H1" s="128"/>
      <c r="I1" s="128"/>
      <c r="J1" s="128"/>
      <c r="K1" s="128"/>
      <c r="L1" s="128"/>
      <c r="M1" s="128"/>
      <c r="N1" s="128"/>
      <c r="O1" s="128"/>
      <c r="P1" s="128"/>
      <c r="Q1" s="128"/>
      <c r="R1" s="128"/>
      <c r="S1" s="126"/>
      <c r="T1" s="165"/>
      <c r="U1" s="165"/>
      <c r="V1" s="165"/>
      <c r="W1" s="165"/>
      <c r="X1" s="165"/>
    </row>
    <row r="2" spans="1:24" s="125" customFormat="1" ht="84" customHeight="1">
      <c r="A2" s="129"/>
      <c r="B2" s="129"/>
      <c r="C2" s="130"/>
      <c r="D2" s="131"/>
      <c r="E2" s="132"/>
      <c r="F2" s="46"/>
      <c r="G2" s="128"/>
      <c r="H2" s="128"/>
      <c r="I2" s="46" t="s">
        <v>63</v>
      </c>
      <c r="J2" s="128"/>
      <c r="K2" s="128"/>
      <c r="L2" s="128"/>
      <c r="M2" s="128"/>
      <c r="N2" s="128"/>
      <c r="O2" s="48" t="s">
        <v>73</v>
      </c>
      <c r="P2" s="128"/>
      <c r="Q2" s="128"/>
      <c r="R2" s="128"/>
      <c r="S2" s="126"/>
      <c r="T2" s="165"/>
      <c r="U2" s="165"/>
      <c r="V2" s="165"/>
      <c r="W2" s="165"/>
      <c r="X2" s="165"/>
    </row>
    <row r="3" spans="3:24" s="125" customFormat="1" ht="15" customHeight="1" hidden="1">
      <c r="C3" s="126"/>
      <c r="D3" s="127"/>
      <c r="E3" s="128"/>
      <c r="F3" s="128"/>
      <c r="G3" s="128"/>
      <c r="H3" s="128"/>
      <c r="I3" s="128"/>
      <c r="J3" s="128"/>
      <c r="K3" s="128"/>
      <c r="L3" s="128"/>
      <c r="M3" s="128"/>
      <c r="N3" s="128"/>
      <c r="O3" s="128"/>
      <c r="P3" s="128"/>
      <c r="Q3" s="128"/>
      <c r="R3" s="128"/>
      <c r="S3" s="126"/>
      <c r="T3" s="165"/>
      <c r="U3" s="165"/>
      <c r="V3" s="165"/>
      <c r="W3" s="165"/>
      <c r="X3" s="165"/>
    </row>
    <row r="4" spans="3:24" s="125" customFormat="1" ht="15" customHeight="1" hidden="1">
      <c r="C4" s="126"/>
      <c r="D4" s="131"/>
      <c r="E4" s="132"/>
      <c r="F4" s="46"/>
      <c r="G4" s="47"/>
      <c r="H4" s="47"/>
      <c r="I4" s="47"/>
      <c r="J4" s="47"/>
      <c r="K4" s="47"/>
      <c r="L4" s="47"/>
      <c r="M4" s="47"/>
      <c r="N4" s="126"/>
      <c r="O4" s="48"/>
      <c r="P4" s="128"/>
      <c r="Q4" s="128"/>
      <c r="R4" s="128"/>
      <c r="S4" s="126"/>
      <c r="T4" s="165"/>
      <c r="U4" s="165"/>
      <c r="V4" s="165"/>
      <c r="W4" s="165"/>
      <c r="X4" s="165"/>
    </row>
    <row r="5" spans="3:24" s="125" customFormat="1" ht="15" customHeight="1">
      <c r="C5" s="126"/>
      <c r="D5" s="127"/>
      <c r="E5" s="128"/>
      <c r="F5" s="128"/>
      <c r="G5" s="128"/>
      <c r="H5" s="128"/>
      <c r="I5" s="128"/>
      <c r="J5" s="128"/>
      <c r="K5" s="128"/>
      <c r="L5" s="128"/>
      <c r="M5" s="128"/>
      <c r="N5" s="128"/>
      <c r="O5" s="128"/>
      <c r="P5" s="128"/>
      <c r="Q5" s="128"/>
      <c r="R5" s="128"/>
      <c r="S5" s="126"/>
      <c r="T5" s="165"/>
      <c r="U5" s="165"/>
      <c r="V5" s="165"/>
      <c r="W5" s="165"/>
      <c r="X5" s="165"/>
    </row>
    <row r="6" spans="3:24" s="125" customFormat="1" ht="15" customHeight="1">
      <c r="C6" s="126"/>
      <c r="D6" s="133"/>
      <c r="E6" s="134"/>
      <c r="F6" s="134"/>
      <c r="G6" s="134"/>
      <c r="H6" s="134"/>
      <c r="I6" s="128"/>
      <c r="J6" s="128"/>
      <c r="K6" s="135"/>
      <c r="L6" s="135"/>
      <c r="M6" s="135"/>
      <c r="N6" s="135"/>
      <c r="O6" s="135"/>
      <c r="P6" s="135"/>
      <c r="Q6" s="135"/>
      <c r="R6" s="135"/>
      <c r="S6" s="136"/>
      <c r="T6" s="165"/>
      <c r="U6" s="165"/>
      <c r="V6" s="165"/>
      <c r="W6" s="165"/>
      <c r="X6" s="165"/>
    </row>
    <row r="7" spans="2:24" s="125" customFormat="1" ht="15" customHeight="1">
      <c r="B7" s="166"/>
      <c r="C7" s="167"/>
      <c r="D7" s="137" t="s">
        <v>2</v>
      </c>
      <c r="E7" s="138"/>
      <c r="F7" s="139"/>
      <c r="G7" s="140"/>
      <c r="H7" s="140"/>
      <c r="I7" s="141">
        <v>0</v>
      </c>
      <c r="J7" s="142"/>
      <c r="K7" s="142"/>
      <c r="L7" s="143"/>
      <c r="M7" s="143"/>
      <c r="N7" s="143"/>
      <c r="O7" s="143"/>
      <c r="P7" s="143"/>
      <c r="Q7" s="144"/>
      <c r="R7" s="145"/>
      <c r="S7" s="146"/>
      <c r="T7" s="165"/>
      <c r="U7" s="165"/>
      <c r="V7" s="165"/>
      <c r="W7" s="165"/>
      <c r="X7" s="165"/>
    </row>
    <row r="8" spans="3:24" s="125" customFormat="1" ht="15" customHeight="1" thickBot="1">
      <c r="C8" s="126"/>
      <c r="D8" s="147"/>
      <c r="E8" s="103"/>
      <c r="F8" s="104"/>
      <c r="G8" s="148"/>
      <c r="H8" s="148"/>
      <c r="I8" s="75"/>
      <c r="J8" s="75"/>
      <c r="K8" s="149" t="s">
        <v>1</v>
      </c>
      <c r="L8" s="149"/>
      <c r="M8" s="149"/>
      <c r="N8" s="149"/>
      <c r="O8" s="149"/>
      <c r="P8" s="149"/>
      <c r="Q8" s="150"/>
      <c r="R8" s="150" t="s">
        <v>1</v>
      </c>
      <c r="S8" s="151"/>
      <c r="T8" s="162"/>
      <c r="U8" s="165"/>
      <c r="V8" s="165"/>
      <c r="W8" s="165"/>
      <c r="X8" s="165"/>
    </row>
    <row r="9" spans="3:24" s="125" customFormat="1" ht="21" customHeight="1">
      <c r="C9" s="126"/>
      <c r="D9" s="66" t="s">
        <v>55</v>
      </c>
      <c r="E9" s="65"/>
      <c r="F9" s="65"/>
      <c r="G9" s="66"/>
      <c r="H9" s="66"/>
      <c r="I9" s="67">
        <v>20000</v>
      </c>
      <c r="J9" s="148"/>
      <c r="K9" s="45"/>
      <c r="L9" s="68" t="s">
        <v>69</v>
      </c>
      <c r="M9" s="70"/>
      <c r="N9" s="70"/>
      <c r="O9" s="70"/>
      <c r="P9" s="70"/>
      <c r="Q9" s="152"/>
      <c r="R9" s="152"/>
      <c r="S9" s="153"/>
      <c r="T9" s="165"/>
      <c r="U9" s="165"/>
      <c r="V9" s="165"/>
      <c r="W9" s="165"/>
      <c r="X9" s="165"/>
    </row>
    <row r="10" spans="3:24" s="125" customFormat="1" ht="21" customHeight="1" thickBot="1">
      <c r="C10" s="126"/>
      <c r="D10" s="66"/>
      <c r="E10" s="65"/>
      <c r="F10" s="65"/>
      <c r="G10" s="66"/>
      <c r="H10" s="66"/>
      <c r="I10" s="168"/>
      <c r="J10" s="75"/>
      <c r="K10" s="75"/>
      <c r="L10" s="169"/>
      <c r="M10" s="75"/>
      <c r="N10" s="75"/>
      <c r="O10" s="75"/>
      <c r="P10" s="75"/>
      <c r="Q10" s="154"/>
      <c r="R10" s="154"/>
      <c r="S10" s="146"/>
      <c r="T10" s="165"/>
      <c r="U10" s="165"/>
      <c r="V10" s="165"/>
      <c r="W10" s="165"/>
      <c r="X10" s="165"/>
    </row>
    <row r="11" spans="3:24" s="125" customFormat="1" ht="21" customHeight="1">
      <c r="C11" s="126"/>
      <c r="D11" s="66" t="s">
        <v>70</v>
      </c>
      <c r="E11" s="65"/>
      <c r="F11" s="65"/>
      <c r="G11" s="66"/>
      <c r="H11" s="66"/>
      <c r="I11" s="67">
        <v>0</v>
      </c>
      <c r="J11" s="74"/>
      <c r="K11" s="74"/>
      <c r="L11" s="66" t="s">
        <v>54</v>
      </c>
      <c r="M11" s="74"/>
      <c r="N11" s="101"/>
      <c r="O11" s="81">
        <f>Finanzierung_Darlehen!B26</f>
        <v>532.7</v>
      </c>
      <c r="P11" s="75"/>
      <c r="Q11" s="154"/>
      <c r="R11" s="154"/>
      <c r="S11" s="146"/>
      <c r="T11" s="165"/>
      <c r="U11" s="165"/>
      <c r="V11" s="165"/>
      <c r="W11" s="165"/>
      <c r="X11" s="165"/>
    </row>
    <row r="12" spans="3:24" s="125" customFormat="1" ht="21" customHeight="1" thickBot="1">
      <c r="C12" s="126"/>
      <c r="D12" s="66"/>
      <c r="E12" s="65"/>
      <c r="F12" s="65"/>
      <c r="G12" s="66"/>
      <c r="H12" s="66"/>
      <c r="I12" s="170"/>
      <c r="J12" s="74"/>
      <c r="K12" s="74"/>
      <c r="L12" s="84"/>
      <c r="M12" s="74"/>
      <c r="N12" s="101"/>
      <c r="O12" s="171"/>
      <c r="P12" s="75"/>
      <c r="Q12" s="154"/>
      <c r="R12" s="154"/>
      <c r="S12" s="146"/>
      <c r="T12" s="165"/>
      <c r="U12" s="165"/>
      <c r="V12" s="165"/>
      <c r="W12" s="165"/>
      <c r="X12" s="165"/>
    </row>
    <row r="13" spans="3:24" s="125" customFormat="1" ht="21" customHeight="1">
      <c r="C13" s="126"/>
      <c r="D13" s="66" t="s">
        <v>56</v>
      </c>
      <c r="E13" s="66"/>
      <c r="F13" s="66"/>
      <c r="G13" s="98"/>
      <c r="H13" s="98"/>
      <c r="I13" s="172">
        <f>IF(I9-I11&lt;=0,"-",I9-I11)</f>
        <v>20000</v>
      </c>
      <c r="J13" s="74"/>
      <c r="K13" s="74"/>
      <c r="L13" s="66" t="s">
        <v>58</v>
      </c>
      <c r="M13" s="74"/>
      <c r="N13" s="101"/>
      <c r="O13" s="81">
        <f>Finanzierung_Darlehen!B24</f>
        <v>502.70000000000005</v>
      </c>
      <c r="P13" s="75"/>
      <c r="Q13" s="154"/>
      <c r="R13" s="154"/>
      <c r="S13" s="146"/>
      <c r="T13" s="165"/>
      <c r="U13" s="165"/>
      <c r="V13" s="165"/>
      <c r="W13" s="165"/>
      <c r="X13" s="165"/>
    </row>
    <row r="14" spans="3:24" s="125" customFormat="1" ht="21" customHeight="1" thickBot="1">
      <c r="C14" s="126"/>
      <c r="D14" s="66"/>
      <c r="E14" s="66"/>
      <c r="F14" s="66"/>
      <c r="G14" s="98"/>
      <c r="H14" s="98"/>
      <c r="I14" s="168"/>
      <c r="J14" s="75"/>
      <c r="K14" s="75"/>
      <c r="L14" s="75"/>
      <c r="M14" s="75"/>
      <c r="N14" s="75"/>
      <c r="O14" s="75"/>
      <c r="P14" s="75"/>
      <c r="Q14" s="154"/>
      <c r="R14" s="154"/>
      <c r="S14" s="146"/>
      <c r="T14" s="165"/>
      <c r="U14" s="165"/>
      <c r="V14" s="165"/>
      <c r="W14" s="165"/>
      <c r="X14" s="165"/>
    </row>
    <row r="15" spans="3:24" s="125" customFormat="1" ht="21" customHeight="1">
      <c r="C15" s="126"/>
      <c r="D15" s="66" t="s">
        <v>51</v>
      </c>
      <c r="E15" s="65"/>
      <c r="F15" s="65"/>
      <c r="G15" s="66"/>
      <c r="H15" s="66"/>
      <c r="I15" s="173">
        <v>48</v>
      </c>
      <c r="J15" s="45"/>
      <c r="K15" s="62"/>
      <c r="L15" s="62"/>
      <c r="M15" s="62"/>
      <c r="N15" s="62"/>
      <c r="O15" s="62"/>
      <c r="P15" s="62"/>
      <c r="Q15" s="154"/>
      <c r="R15" s="154"/>
      <c r="S15" s="146"/>
      <c r="T15" s="165"/>
      <c r="U15" s="165"/>
      <c r="V15" s="165"/>
      <c r="W15" s="165"/>
      <c r="X15" s="165"/>
    </row>
    <row r="16" spans="3:24" s="125" customFormat="1" ht="15" customHeight="1">
      <c r="C16" s="126"/>
      <c r="D16" s="66"/>
      <c r="E16" s="66"/>
      <c r="F16" s="66"/>
      <c r="G16" s="98"/>
      <c r="H16" s="98"/>
      <c r="I16" s="168"/>
      <c r="J16" s="75"/>
      <c r="K16" s="62"/>
      <c r="L16" s="62"/>
      <c r="M16" s="62"/>
      <c r="O16" s="62"/>
      <c r="P16" s="62"/>
      <c r="Q16" s="154"/>
      <c r="R16" s="154"/>
      <c r="S16" s="146"/>
      <c r="T16" s="165"/>
      <c r="U16" s="165"/>
      <c r="V16" s="165"/>
      <c r="W16" s="165"/>
      <c r="X16" s="165"/>
    </row>
    <row r="17" spans="3:24" s="125" customFormat="1" ht="15" customHeight="1">
      <c r="C17" s="126"/>
      <c r="D17" s="101"/>
      <c r="E17" s="101"/>
      <c r="F17" s="101"/>
      <c r="G17" s="101"/>
      <c r="H17" s="101"/>
      <c r="I17" s="101"/>
      <c r="J17" s="45"/>
      <c r="K17" s="174"/>
      <c r="L17" s="175"/>
      <c r="M17" s="176"/>
      <c r="O17" s="176"/>
      <c r="P17" s="176"/>
      <c r="Q17" s="177"/>
      <c r="R17" s="178"/>
      <c r="S17" s="159"/>
      <c r="T17" s="165"/>
      <c r="U17" s="165"/>
      <c r="V17" s="165"/>
      <c r="W17" s="165"/>
      <c r="X17" s="165"/>
    </row>
    <row r="18" spans="3:24" s="125" customFormat="1" ht="15" customHeight="1" thickBot="1">
      <c r="C18" s="126"/>
      <c r="D18" s="66"/>
      <c r="E18" s="65"/>
      <c r="F18" s="65"/>
      <c r="G18" s="66"/>
      <c r="H18" s="66"/>
      <c r="I18" s="168" t="s">
        <v>1</v>
      </c>
      <c r="J18" s="75"/>
      <c r="K18" s="41"/>
      <c r="M18" s="62"/>
      <c r="O18" s="62"/>
      <c r="P18" s="62"/>
      <c r="Q18" s="179"/>
      <c r="R18" s="154"/>
      <c r="S18" s="146"/>
      <c r="T18" s="165"/>
      <c r="U18" s="165"/>
      <c r="V18" s="165"/>
      <c r="W18" s="165"/>
      <c r="X18" s="165"/>
    </row>
    <row r="19" spans="3:24" s="125" customFormat="1" ht="21" customHeight="1">
      <c r="C19" s="126"/>
      <c r="D19" s="66" t="s">
        <v>57</v>
      </c>
      <c r="E19" s="66"/>
      <c r="F19" s="66"/>
      <c r="G19" s="98"/>
      <c r="H19" s="98"/>
      <c r="I19" s="77">
        <v>0.0995</v>
      </c>
      <c r="J19" s="180">
        <f>((1+I19)^(1/12)-1)*12</f>
        <v>0.0952314196031887</v>
      </c>
      <c r="K19" s="42"/>
      <c r="M19" s="181"/>
      <c r="N19" s="66" t="s">
        <v>72</v>
      </c>
      <c r="O19" s="181"/>
      <c r="P19" s="181"/>
      <c r="Q19" s="182"/>
      <c r="R19" s="156" t="s">
        <v>1</v>
      </c>
      <c r="S19" s="157"/>
      <c r="T19" s="165"/>
      <c r="U19" s="165"/>
      <c r="V19" s="165"/>
      <c r="W19" s="165"/>
      <c r="X19" s="165"/>
    </row>
    <row r="20" spans="3:24" s="125" customFormat="1" ht="17.25" customHeight="1">
      <c r="C20" s="126"/>
      <c r="D20" s="183"/>
      <c r="E20" s="103"/>
      <c r="F20" s="104"/>
      <c r="G20" s="148"/>
      <c r="H20" s="148"/>
      <c r="I20" s="82"/>
      <c r="J20" s="75"/>
      <c r="K20" s="62"/>
      <c r="M20" s="62"/>
      <c r="N20" s="66" t="s">
        <v>76</v>
      </c>
      <c r="O20" s="62"/>
      <c r="P20" s="62"/>
      <c r="Q20" s="179"/>
      <c r="R20" s="154"/>
      <c r="S20" s="146"/>
      <c r="T20" s="165"/>
      <c r="U20" s="165"/>
      <c r="V20" s="165"/>
      <c r="W20" s="165"/>
      <c r="X20" s="165"/>
    </row>
    <row r="21" spans="3:24" s="125" customFormat="1" ht="17.25" customHeight="1">
      <c r="C21" s="126"/>
      <c r="D21" s="45"/>
      <c r="E21" s="103"/>
      <c r="F21" s="104"/>
      <c r="G21" s="105"/>
      <c r="H21" s="100"/>
      <c r="I21" s="184"/>
      <c r="J21" s="113"/>
      <c r="K21" s="185"/>
      <c r="L21" s="107"/>
      <c r="M21" s="107"/>
      <c r="N21" s="66" t="s">
        <v>75</v>
      </c>
      <c r="O21" s="107"/>
      <c r="P21" s="107"/>
      <c r="Q21" s="186"/>
      <c r="R21" s="152"/>
      <c r="S21" s="146"/>
      <c r="T21" s="165"/>
      <c r="U21" s="165"/>
      <c r="V21" s="165"/>
      <c r="W21" s="165"/>
      <c r="X21" s="165"/>
    </row>
    <row r="22" spans="3:24" s="125" customFormat="1" ht="17.25" customHeight="1">
      <c r="C22" s="126"/>
      <c r="D22" s="45"/>
      <c r="E22" s="187"/>
      <c r="F22" s="187"/>
      <c r="G22" s="188"/>
      <c r="H22" s="189"/>
      <c r="I22" s="45"/>
      <c r="J22" s="62"/>
      <c r="K22" s="190"/>
      <c r="L22" s="191"/>
      <c r="M22" s="191"/>
      <c r="N22" s="106" t="s">
        <v>77</v>
      </c>
      <c r="O22" s="191"/>
      <c r="P22" s="191"/>
      <c r="Q22" s="192"/>
      <c r="R22" s="154"/>
      <c r="S22" s="146"/>
      <c r="T22" s="165"/>
      <c r="U22" s="165"/>
      <c r="V22" s="165"/>
      <c r="W22" s="165"/>
      <c r="X22" s="165"/>
    </row>
    <row r="23" spans="3:24" s="125" customFormat="1" ht="15" customHeight="1">
      <c r="C23" s="126"/>
      <c r="D23" s="45"/>
      <c r="E23" s="104"/>
      <c r="F23" s="104"/>
      <c r="G23" s="104"/>
      <c r="H23" s="104"/>
      <c r="I23" s="45"/>
      <c r="J23" s="42"/>
      <c r="K23" s="193"/>
      <c r="L23" s="102"/>
      <c r="M23" s="102"/>
      <c r="N23" s="106"/>
      <c r="O23" s="62"/>
      <c r="P23" s="102"/>
      <c r="Q23" s="158"/>
      <c r="R23" s="158"/>
      <c r="S23" s="159"/>
      <c r="T23" s="165"/>
      <c r="U23" s="165"/>
      <c r="V23" s="165"/>
      <c r="W23" s="165"/>
      <c r="X23" s="165"/>
    </row>
    <row r="24" spans="3:24" s="160" customFormat="1" ht="15.75">
      <c r="C24" s="161"/>
      <c r="D24" s="117"/>
      <c r="E24" s="75"/>
      <c r="F24" s="75"/>
      <c r="G24" s="75"/>
      <c r="H24" s="75"/>
      <c r="I24" s="115"/>
      <c r="J24" s="62"/>
      <c r="K24" s="42"/>
      <c r="L24" s="42"/>
      <c r="M24" s="42"/>
      <c r="N24" s="42"/>
      <c r="O24" s="62"/>
      <c r="P24" s="42"/>
      <c r="Q24" s="128"/>
      <c r="R24" s="154"/>
      <c r="S24" s="146"/>
      <c r="T24" s="194"/>
      <c r="U24" s="194"/>
      <c r="V24" s="194"/>
      <c r="W24" s="194"/>
      <c r="X24" s="194"/>
    </row>
    <row r="25" spans="3:24" s="125" customFormat="1" ht="18.75">
      <c r="C25" s="126"/>
      <c r="D25" s="119"/>
      <c r="E25" s="75"/>
      <c r="F25" s="44"/>
      <c r="G25" s="75"/>
      <c r="H25" s="75"/>
      <c r="I25" s="120"/>
      <c r="J25" s="196"/>
      <c r="K25" s="62"/>
      <c r="L25" s="62"/>
      <c r="M25" s="62"/>
      <c r="N25" s="62"/>
      <c r="O25" s="62"/>
      <c r="P25" s="62"/>
      <c r="Q25" s="154"/>
      <c r="R25" s="154"/>
      <c r="S25" s="146"/>
      <c r="T25" s="165"/>
      <c r="U25" s="165"/>
      <c r="V25" s="165"/>
      <c r="W25" s="165"/>
      <c r="X25" s="165"/>
    </row>
    <row r="26" spans="3:24" s="162" customFormat="1" ht="15">
      <c r="C26" s="146"/>
      <c r="D26" s="117"/>
      <c r="E26" s="75"/>
      <c r="F26" s="75"/>
      <c r="G26" s="75"/>
      <c r="H26" s="75"/>
      <c r="I26" s="75"/>
      <c r="J26" s="62"/>
      <c r="K26" s="197" t="s">
        <v>1</v>
      </c>
      <c r="L26" s="197"/>
      <c r="M26" s="197"/>
      <c r="N26" s="197"/>
      <c r="O26" s="123"/>
      <c r="P26" s="123"/>
      <c r="Q26" s="163"/>
      <c r="R26" s="154"/>
      <c r="S26" s="146"/>
      <c r="T26" s="195"/>
      <c r="U26" s="195"/>
      <c r="V26" s="195"/>
      <c r="W26" s="195"/>
      <c r="X26" s="195"/>
    </row>
    <row r="27" spans="4:16" ht="15">
      <c r="D27" s="117"/>
      <c r="E27" s="75"/>
      <c r="F27" s="75"/>
      <c r="G27" s="75"/>
      <c r="H27" s="75"/>
      <c r="I27" s="75"/>
      <c r="J27" s="75"/>
      <c r="K27" s="75"/>
      <c r="L27" s="75"/>
      <c r="M27" s="75"/>
      <c r="N27" s="75"/>
      <c r="O27" s="75"/>
      <c r="P27" s="75"/>
    </row>
    <row r="28" spans="4:16" ht="15">
      <c r="D28" s="117"/>
      <c r="E28" s="75"/>
      <c r="F28" s="75"/>
      <c r="G28" s="75"/>
      <c r="H28" s="75"/>
      <c r="I28" s="75"/>
      <c r="J28" s="75"/>
      <c r="K28" s="75"/>
      <c r="L28" s="75"/>
      <c r="M28" s="75"/>
      <c r="N28" s="75"/>
      <c r="O28" s="75"/>
      <c r="P28" s="75"/>
    </row>
    <row r="29" spans="4:16" ht="15">
      <c r="D29" s="117"/>
      <c r="E29" s="75"/>
      <c r="F29" s="75"/>
      <c r="G29" s="75"/>
      <c r="H29" s="75"/>
      <c r="I29" s="75"/>
      <c r="J29" s="75"/>
      <c r="K29" s="75"/>
      <c r="L29" s="75"/>
      <c r="M29" s="75"/>
      <c r="N29" s="75"/>
      <c r="O29" s="75"/>
      <c r="P29" s="75"/>
    </row>
    <row r="99" ht="15">
      <c r="A99" s="146" t="b">
        <v>0</v>
      </c>
    </row>
  </sheetData>
  <sheetProtection password="CEB8" sheet="1" objects="1" scenarios="1" selectLockedCells="1"/>
  <conditionalFormatting sqref="K17">
    <cfRule type="cellIs" priority="1" dxfId="14" operator="greaterThan" stopIfTrue="1">
      <formula>15</formula>
    </cfRule>
  </conditionalFormatting>
  <conditionalFormatting sqref="L17">
    <cfRule type="expression" priority="2" dxfId="14" stopIfTrue="1">
      <formula>$K$17&gt;15</formula>
    </cfRule>
  </conditionalFormatting>
  <dataValidations count="1">
    <dataValidation type="whole" allowBlank="1" showInputMessage="1" showErrorMessage="1" error="Finanziamento da 6 fino a 84 mesi&#10;" sqref="I15">
      <formula1>6</formula1>
      <formula2>84</formula2>
    </dataValidation>
  </dataValidations>
  <printOptions horizontalCentered="1" verticalCentered="1"/>
  <pageMargins left="0.7" right="0.7" top="0.75" bottom="0.75" header="0.3" footer="0.3"/>
  <pageSetup fitToHeight="1" fitToWidth="1"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sheetPr codeName="Sheet2">
    <tabColor rgb="FFFFC000"/>
    <pageSetUpPr fitToPage="1"/>
  </sheetPr>
  <dimension ref="A1:Z60"/>
  <sheetViews>
    <sheetView showRowColHeaders="0" zoomScalePageLayoutView="0" workbookViewId="0" topLeftCell="A1">
      <selection activeCell="L31" sqref="L31"/>
    </sheetView>
  </sheetViews>
  <sheetFormatPr defaultColWidth="9.140625" defaultRowHeight="12.75"/>
  <cols>
    <col min="1" max="1" width="6.7109375" style="241" customWidth="1"/>
    <col min="2" max="2" width="3.00390625" style="241" hidden="1" customWidth="1"/>
    <col min="3" max="5" width="9.140625" style="241" customWidth="1"/>
    <col min="6" max="6" width="16.7109375" style="241" customWidth="1"/>
    <col min="7" max="8" width="9.140625" style="241" customWidth="1"/>
    <col min="9" max="9" width="12.7109375" style="241" customWidth="1"/>
    <col min="10" max="10" width="13.7109375" style="241" customWidth="1"/>
    <col min="11" max="11" width="9.140625" style="241" customWidth="1"/>
    <col min="12" max="12" width="4.57421875" style="241" customWidth="1"/>
    <col min="13" max="13" width="16.7109375" style="241" customWidth="1"/>
    <col min="14" max="14" width="7.00390625" style="241" customWidth="1"/>
    <col min="15" max="16384" width="9.140625" style="241" customWidth="1"/>
  </cols>
  <sheetData>
    <row r="1" spans="1:11" ht="15" customHeight="1">
      <c r="A1" s="240"/>
      <c r="B1" s="122"/>
      <c r="C1" s="122"/>
      <c r="D1" s="122"/>
      <c r="E1" s="122"/>
      <c r="F1" s="122"/>
      <c r="G1" s="122"/>
      <c r="H1" s="122"/>
      <c r="I1" s="122"/>
      <c r="J1" s="122"/>
      <c r="K1" s="122"/>
    </row>
    <row r="2" spans="1:11" ht="84" customHeight="1">
      <c r="A2" s="240"/>
      <c r="B2" s="198"/>
      <c r="C2" s="198"/>
      <c r="D2" s="198"/>
      <c r="E2" s="199"/>
      <c r="F2" s="198"/>
      <c r="G2" s="122"/>
      <c r="H2" s="122"/>
      <c r="I2" s="122"/>
      <c r="J2" s="122"/>
      <c r="K2" s="122"/>
    </row>
    <row r="3" spans="1:26" ht="13.5" customHeight="1" hidden="1">
      <c r="A3" s="240"/>
      <c r="B3" s="122"/>
      <c r="C3" s="198"/>
      <c r="D3" s="122"/>
      <c r="E3" s="122"/>
      <c r="F3" s="122"/>
      <c r="G3" s="122"/>
      <c r="H3" s="122"/>
      <c r="I3" s="122"/>
      <c r="J3" s="122"/>
      <c r="K3" s="122"/>
      <c r="M3" s="200"/>
      <c r="Z3" s="241">
        <v>1</v>
      </c>
    </row>
    <row r="4" spans="1:11" ht="13.5" customHeight="1" hidden="1">
      <c r="A4" s="240"/>
      <c r="B4" s="122"/>
      <c r="C4" s="198"/>
      <c r="D4" s="122"/>
      <c r="E4" s="122"/>
      <c r="F4" s="122"/>
      <c r="G4" s="122"/>
      <c r="H4" s="122"/>
      <c r="I4" s="122"/>
      <c r="J4" s="122"/>
      <c r="K4" s="122"/>
    </row>
    <row r="5" spans="1:11" ht="13.5" customHeight="1">
      <c r="A5" s="240"/>
      <c r="B5" s="122"/>
      <c r="C5" s="198"/>
      <c r="D5" s="122"/>
      <c r="E5" s="199"/>
      <c r="F5" s="199"/>
      <c r="G5" s="122"/>
      <c r="H5" s="122"/>
      <c r="I5" s="122"/>
      <c r="J5" s="122"/>
      <c r="K5" s="122"/>
    </row>
    <row r="6" spans="1:11" ht="13.5" customHeight="1">
      <c r="A6" s="240"/>
      <c r="B6" s="122"/>
      <c r="C6" s="198"/>
      <c r="D6" s="122"/>
      <c r="E6" s="122"/>
      <c r="F6" s="122"/>
      <c r="G6" s="122"/>
      <c r="H6" s="122"/>
      <c r="I6" s="122"/>
      <c r="J6" s="122"/>
      <c r="K6" s="122"/>
    </row>
    <row r="7" spans="1:11" ht="13.5" customHeight="1">
      <c r="A7" s="240"/>
      <c r="B7" s="122"/>
      <c r="C7" s="198"/>
      <c r="D7" s="122"/>
      <c r="E7" s="122"/>
      <c r="F7" s="122"/>
      <c r="G7" s="122"/>
      <c r="H7" s="122"/>
      <c r="I7" s="122"/>
      <c r="J7" s="122"/>
      <c r="K7" s="122"/>
    </row>
    <row r="8" spans="1:11" ht="13.5" customHeight="1">
      <c r="A8" s="240"/>
      <c r="B8" s="122"/>
      <c r="C8" s="198"/>
      <c r="D8" s="122"/>
      <c r="E8" s="122"/>
      <c r="F8" s="122"/>
      <c r="G8" s="122"/>
      <c r="H8" s="122"/>
      <c r="I8" s="122"/>
      <c r="J8" s="122"/>
      <c r="K8" s="122"/>
    </row>
    <row r="9" spans="1:13" ht="13.5" customHeight="1" hidden="1">
      <c r="A9" s="240"/>
      <c r="B9" s="122"/>
      <c r="C9" s="198"/>
      <c r="D9" s="122"/>
      <c r="E9" s="122"/>
      <c r="F9" s="122"/>
      <c r="G9" s="122"/>
      <c r="H9" s="122"/>
      <c r="I9" s="122"/>
      <c r="J9" s="122"/>
      <c r="K9" s="122"/>
      <c r="M9" s="201">
        <v>1</v>
      </c>
    </row>
    <row r="10" spans="1:13" ht="13.5" customHeight="1">
      <c r="A10" s="240"/>
      <c r="B10" s="122"/>
      <c r="C10" s="198"/>
      <c r="D10" s="122"/>
      <c r="E10" s="122"/>
      <c r="F10" s="122"/>
      <c r="G10" s="122"/>
      <c r="H10" s="122"/>
      <c r="I10" s="122"/>
      <c r="J10" s="122"/>
      <c r="K10" s="122"/>
      <c r="L10" s="242"/>
      <c r="M10" s="243" t="str">
        <f>IF(M9=1,"Leasing",IF(M9=2,"Finanziamento","Finanziamento Plus"))</f>
        <v>Leasing</v>
      </c>
    </row>
    <row r="11" spans="1:13" ht="13.5" customHeight="1">
      <c r="A11" s="240"/>
      <c r="B11" s="122"/>
      <c r="C11" s="198"/>
      <c r="D11" s="122"/>
      <c r="E11" s="122"/>
      <c r="F11" s="122"/>
      <c r="G11" s="122"/>
      <c r="H11" s="122"/>
      <c r="I11" s="122"/>
      <c r="J11" s="122"/>
      <c r="K11" s="122"/>
      <c r="L11" s="202"/>
      <c r="M11" s="202"/>
    </row>
    <row r="12" spans="1:13" ht="22.5">
      <c r="A12" s="240"/>
      <c r="B12" s="122"/>
      <c r="C12" s="199" t="str">
        <f>CONCATENATE("Calcolazione di ",$M$10," senza impegno")</f>
        <v>Calcolazione di Leasing senza impegno</v>
      </c>
      <c r="D12" s="122"/>
      <c r="E12" s="122"/>
      <c r="F12" s="122"/>
      <c r="G12" s="122"/>
      <c r="H12" s="122"/>
      <c r="I12" s="122"/>
      <c r="J12" s="122"/>
      <c r="K12" s="122"/>
      <c r="L12" s="203"/>
      <c r="M12" s="203"/>
    </row>
    <row r="13" spans="1:13" ht="13.5" customHeight="1">
      <c r="A13" s="240"/>
      <c r="B13" s="122"/>
      <c r="C13" s="122"/>
      <c r="D13" s="204"/>
      <c r="E13" s="204"/>
      <c r="F13" s="204"/>
      <c r="G13" s="204"/>
      <c r="H13" s="204"/>
      <c r="I13" s="204"/>
      <c r="J13" s="204"/>
      <c r="K13" s="204"/>
      <c r="L13" s="203"/>
      <c r="M13" s="203"/>
    </row>
    <row r="14" spans="1:11" ht="13.5" customHeight="1">
      <c r="A14" s="240"/>
      <c r="B14" s="122"/>
      <c r="C14" s="122"/>
      <c r="D14" s="235"/>
      <c r="E14" s="235"/>
      <c r="F14" s="235"/>
      <c r="G14" s="235"/>
      <c r="H14" s="235"/>
      <c r="I14" s="235"/>
      <c r="J14" s="235"/>
      <c r="K14" s="235"/>
    </row>
    <row r="15" spans="1:11" ht="13.5" customHeight="1">
      <c r="A15" s="240"/>
      <c r="B15" s="122"/>
      <c r="C15" s="122"/>
      <c r="D15" s="122"/>
      <c r="E15" s="122"/>
      <c r="F15" s="122"/>
      <c r="G15" s="122"/>
      <c r="H15" s="122"/>
      <c r="I15" s="122"/>
      <c r="J15" s="122"/>
      <c r="K15" s="122"/>
    </row>
    <row r="16" spans="1:11" ht="13.5" customHeight="1">
      <c r="A16" s="240"/>
      <c r="B16" s="122"/>
      <c r="C16" s="122"/>
      <c r="D16" s="122"/>
      <c r="E16" s="122"/>
      <c r="F16" s="122"/>
      <c r="G16" s="122"/>
      <c r="H16" s="122"/>
      <c r="I16" s="122"/>
      <c r="J16" s="122"/>
      <c r="K16" s="122"/>
    </row>
    <row r="17" spans="1:11" ht="13.5">
      <c r="A17" s="240"/>
      <c r="B17" s="122"/>
      <c r="C17" s="330" t="s">
        <v>59</v>
      </c>
      <c r="D17" s="330"/>
      <c r="E17" s="330"/>
      <c r="F17" s="330"/>
      <c r="G17" s="330"/>
      <c r="H17" s="330"/>
      <c r="I17" s="330"/>
      <c r="J17" s="330"/>
      <c r="K17" s="330"/>
    </row>
    <row r="18" spans="1:13" ht="13.5">
      <c r="A18" s="240"/>
      <c r="B18" s="122"/>
      <c r="C18" s="235"/>
      <c r="D18" s="205"/>
      <c r="E18" s="205"/>
      <c r="F18" s="205"/>
      <c r="G18" s="205"/>
      <c r="H18" s="205"/>
      <c r="I18" s="205"/>
      <c r="J18" s="205"/>
      <c r="K18" s="205"/>
      <c r="M18" s="244"/>
    </row>
    <row r="19" spans="1:13" ht="13.5">
      <c r="A19" s="240"/>
      <c r="B19" s="122"/>
      <c r="C19" s="204" t="s">
        <v>60</v>
      </c>
      <c r="D19" s="122"/>
      <c r="E19" s="122"/>
      <c r="F19" s="122"/>
      <c r="G19" s="122"/>
      <c r="H19" s="122"/>
      <c r="I19" s="122"/>
      <c r="J19" s="122"/>
      <c r="K19" s="122"/>
      <c r="M19" s="244"/>
    </row>
    <row r="20" spans="1:13" ht="13.5">
      <c r="A20" s="240"/>
      <c r="B20" s="122"/>
      <c r="C20" s="204" t="s">
        <v>61</v>
      </c>
      <c r="D20" s="122"/>
      <c r="E20" s="122"/>
      <c r="F20" s="122"/>
      <c r="G20" s="122"/>
      <c r="H20" s="122"/>
      <c r="I20" s="122"/>
      <c r="J20" s="122"/>
      <c r="K20" s="122"/>
      <c r="M20" s="206"/>
    </row>
    <row r="21" spans="1:13" ht="13.5">
      <c r="A21" s="240"/>
      <c r="B21" s="122"/>
      <c r="C21" s="122"/>
      <c r="D21" s="122"/>
      <c r="E21" s="122"/>
      <c r="F21" s="122"/>
      <c r="G21" s="122"/>
      <c r="H21" s="122"/>
      <c r="I21" s="122"/>
      <c r="J21" s="122"/>
      <c r="K21" s="122"/>
      <c r="M21" s="326" t="s">
        <v>0</v>
      </c>
    </row>
    <row r="22" spans="1:13" ht="13.5" thickBot="1">
      <c r="A22" s="240"/>
      <c r="B22" s="122"/>
      <c r="C22" s="122"/>
      <c r="D22" s="122"/>
      <c r="E22" s="122"/>
      <c r="F22" s="122"/>
      <c r="G22" s="122"/>
      <c r="H22" s="122"/>
      <c r="I22" s="122"/>
      <c r="J22" s="122"/>
      <c r="K22" s="122"/>
      <c r="M22" s="327"/>
    </row>
    <row r="23" spans="1:13" ht="19.5" thickTop="1">
      <c r="A23" s="240"/>
      <c r="B23" s="122"/>
      <c r="C23" s="155" t="s">
        <v>62</v>
      </c>
      <c r="D23" s="122"/>
      <c r="E23" s="122"/>
      <c r="F23" s="122"/>
      <c r="G23" s="122"/>
      <c r="H23" s="122"/>
      <c r="I23" s="122"/>
      <c r="J23" s="122"/>
      <c r="K23" s="122"/>
      <c r="M23" s="326" t="s">
        <v>63</v>
      </c>
    </row>
    <row r="24" spans="1:13" ht="13.5" thickBot="1">
      <c r="A24" s="240"/>
      <c r="B24" s="122"/>
      <c r="C24" s="122"/>
      <c r="D24" s="122"/>
      <c r="E24" s="122"/>
      <c r="F24" s="122"/>
      <c r="G24" s="122"/>
      <c r="H24" s="122"/>
      <c r="I24" s="122"/>
      <c r="J24" s="122"/>
      <c r="K24" s="122"/>
      <c r="M24" s="327"/>
    </row>
    <row r="25" spans="1:13" ht="13.5" thickTop="1">
      <c r="A25" s="240"/>
      <c r="B25" s="122"/>
      <c r="C25" s="45" t="s">
        <v>55</v>
      </c>
      <c r="D25" s="122"/>
      <c r="E25" s="122"/>
      <c r="F25" s="207">
        <f>IF(M9=1,LEASING!H9,IF(M9=2,FINANZIAMENTO!I9,#REF!))</f>
        <v>50000</v>
      </c>
      <c r="G25" s="208" t="str">
        <f>IF(M9=1,IF(LEASING!$A$98=TRUE,"(imposta sul margine)","(IVA incl. 8.1%)"),"")</f>
        <v>(IVA incl. 8.1%)</v>
      </c>
      <c r="H25" s="122"/>
      <c r="I25" s="122"/>
      <c r="J25" s="122"/>
      <c r="K25" s="122"/>
      <c r="M25" s="328"/>
    </row>
    <row r="26" spans="1:13" ht="13.5">
      <c r="A26" s="240"/>
      <c r="B26" s="122"/>
      <c r="C26" s="45"/>
      <c r="D26" s="122"/>
      <c r="E26" s="122"/>
      <c r="F26" s="207"/>
      <c r="G26" s="122"/>
      <c r="H26" s="122"/>
      <c r="I26" s="122"/>
      <c r="J26" s="122"/>
      <c r="K26" s="122"/>
      <c r="M26" s="329"/>
    </row>
    <row r="27" spans="1:11" ht="13.5">
      <c r="A27" s="240"/>
      <c r="B27" s="122"/>
      <c r="C27" s="45" t="str">
        <f>IF(M9=1,LEASING!D17,FINANZIAMENTO!$D$11)</f>
        <v>1° canone maggiorato</v>
      </c>
      <c r="D27" s="122"/>
      <c r="E27" s="122"/>
      <c r="F27" s="207">
        <f>IF(M9=1,LEASING!H17,IF(M9=2,FINANZIAMENTO!I11,#REF!))</f>
        <v>0</v>
      </c>
      <c r="G27" s="209" t="str">
        <f>IF($M$9=1,"*","")</f>
        <v>*</v>
      </c>
      <c r="H27" s="122"/>
      <c r="I27" s="122"/>
      <c r="J27" s="210"/>
      <c r="K27" s="122"/>
    </row>
    <row r="28" spans="1:11" ht="13.5" customHeight="1">
      <c r="A28" s="240"/>
      <c r="B28" s="122"/>
      <c r="C28" s="45"/>
      <c r="D28" s="122"/>
      <c r="E28" s="122"/>
      <c r="F28" s="207"/>
      <c r="G28" s="122"/>
      <c r="H28" s="122"/>
      <c r="I28" s="122"/>
      <c r="J28" s="122"/>
      <c r="K28" s="122"/>
    </row>
    <row r="29" spans="1:11" ht="13.5">
      <c r="A29" s="240"/>
      <c r="B29" s="122"/>
      <c r="C29" s="45" t="str">
        <f>IF(M9=1,LEASING!D15,IF(M9=2,FINANZIAMENTO!D13,#REF!))</f>
        <v>Valore di riscatto</v>
      </c>
      <c r="D29" s="122"/>
      <c r="E29" s="122"/>
      <c r="F29" s="207">
        <f>IF(M9=1,LEASING!H15,IF(M9=2,FINANZIAMENTO!I13,#REF!))</f>
        <v>1000</v>
      </c>
      <c r="G29" s="209" t="str">
        <f>IF($M$9=1,"*","")</f>
        <v>*</v>
      </c>
      <c r="H29" s="122"/>
      <c r="I29" s="45" t="str">
        <f>IF(M9=1,"km all'anno:","")</f>
        <v>km all'anno:</v>
      </c>
      <c r="J29" s="213"/>
      <c r="K29" s="122"/>
    </row>
    <row r="30" spans="1:11" ht="13.5">
      <c r="A30" s="240"/>
      <c r="B30" s="122"/>
      <c r="C30" s="45"/>
      <c r="D30" s="122"/>
      <c r="E30" s="122"/>
      <c r="F30" s="122"/>
      <c r="G30" s="122"/>
      <c r="H30" s="122"/>
      <c r="I30" s="122"/>
      <c r="J30" s="122"/>
      <c r="K30" s="122"/>
    </row>
    <row r="31" spans="1:11" ht="13.5">
      <c r="A31" s="240"/>
      <c r="B31" s="122"/>
      <c r="C31" s="45" t="s">
        <v>51</v>
      </c>
      <c r="D31" s="122"/>
      <c r="E31" s="122"/>
      <c r="F31" s="211" t="str">
        <f>CONCATENATE(IF(M9=1,IF(LEASING!H17=0,LEASING!H13,CONCATENATE(LEASING!H13-1," + 1")),IF(M9=2,FINANZIAMENTO!I15,#REF!))," mesi")</f>
        <v>48 mesi</v>
      </c>
      <c r="G31" s="122"/>
      <c r="H31" s="122"/>
      <c r="I31" s="122"/>
      <c r="J31" s="122"/>
      <c r="K31" s="122"/>
    </row>
    <row r="32" spans="1:11" ht="13.5">
      <c r="A32" s="240"/>
      <c r="B32" s="122"/>
      <c r="C32" s="122"/>
      <c r="D32" s="122"/>
      <c r="E32" s="122"/>
      <c r="F32" s="122"/>
      <c r="G32" s="122"/>
      <c r="H32" s="122"/>
      <c r="I32" s="122"/>
      <c r="J32" s="122"/>
      <c r="K32" s="122"/>
    </row>
    <row r="33" spans="1:11" ht="13.5">
      <c r="A33" s="240"/>
      <c r="B33" s="122"/>
      <c r="C33" s="122"/>
      <c r="D33" s="122"/>
      <c r="E33" s="122"/>
      <c r="F33" s="122"/>
      <c r="G33" s="122"/>
      <c r="H33" s="122"/>
      <c r="I33" s="122"/>
      <c r="J33" s="122"/>
      <c r="K33" s="122"/>
    </row>
    <row r="34" spans="1:11" ht="13.5">
      <c r="A34" s="240"/>
      <c r="B34" s="122"/>
      <c r="C34" s="122"/>
      <c r="D34" s="122"/>
      <c r="E34" s="122"/>
      <c r="F34" s="122"/>
      <c r="G34" s="122"/>
      <c r="H34" s="122"/>
      <c r="I34" s="122"/>
      <c r="J34" s="122"/>
      <c r="K34" s="122"/>
    </row>
    <row r="35" spans="1:11" ht="18.75">
      <c r="A35" s="240"/>
      <c r="B35" s="122"/>
      <c r="C35" s="155" t="s">
        <v>71</v>
      </c>
      <c r="D35" s="122"/>
      <c r="E35" s="122"/>
      <c r="F35" s="212">
        <f>IF(M9=3,#REF!,"")</f>
      </c>
      <c r="G35" s="122" t="str">
        <f>IF(M9=3,"*"," ")</f>
        <v> </v>
      </c>
      <c r="H35" s="122"/>
      <c r="I35" s="122"/>
      <c r="J35" s="122"/>
      <c r="K35" s="122"/>
    </row>
    <row r="36" spans="1:11" ht="13.5">
      <c r="A36" s="240"/>
      <c r="B36" s="122"/>
      <c r="C36" s="122"/>
      <c r="D36" s="122"/>
      <c r="E36" s="122"/>
      <c r="F36" s="122"/>
      <c r="G36" s="122"/>
      <c r="H36" s="122"/>
      <c r="I36" s="122"/>
      <c r="J36" s="122"/>
      <c r="K36" s="122"/>
    </row>
    <row r="37" spans="1:11" ht="13.5">
      <c r="A37" s="240"/>
      <c r="B37" s="122"/>
      <c r="C37" s="45" t="str">
        <f>IF(M9=3,"",LEASING!$K$11)</f>
        <v>con assicurazione rate</v>
      </c>
      <c r="D37" s="122"/>
      <c r="E37" s="122"/>
      <c r="F37" s="212">
        <f>IF(M9=1,LEASING!$N$11,IF(M9=2,FINANZIAMENTO!O11,""))</f>
        <v>1254.0500000000002</v>
      </c>
      <c r="G37" s="209" t="str">
        <f>IF($M$9=1,"*","")</f>
        <v>*</v>
      </c>
      <c r="H37" s="122"/>
      <c r="I37" s="122"/>
      <c r="J37" s="122"/>
      <c r="K37" s="122"/>
    </row>
    <row r="38" spans="1:11" ht="13.5">
      <c r="A38" s="240"/>
      <c r="B38" s="122"/>
      <c r="C38" s="45"/>
      <c r="D38" s="122"/>
      <c r="E38" s="122"/>
      <c r="F38" s="45"/>
      <c r="G38" s="209"/>
      <c r="H38" s="122"/>
      <c r="I38" s="122"/>
      <c r="J38" s="122"/>
      <c r="K38" s="122"/>
    </row>
    <row r="39" spans="1:11" ht="13.5">
      <c r="A39" s="240"/>
      <c r="B39" s="122"/>
      <c r="C39" s="45" t="str">
        <f>IF(M9=3,"",LEASING!$K$13)</f>
        <v>senza assicurazione rate</v>
      </c>
      <c r="D39" s="122"/>
      <c r="E39" s="122"/>
      <c r="F39" s="212">
        <f>IF(M9=1,LEASING!$N$13,IF(M9=2,FINANZIAMENTO!O13,""))</f>
        <v>1183.4</v>
      </c>
      <c r="G39" s="209" t="str">
        <f>IF($M$9=1,"*","")</f>
        <v>*</v>
      </c>
      <c r="H39" s="122"/>
      <c r="I39" s="122"/>
      <c r="J39" s="122"/>
      <c r="K39" s="122"/>
    </row>
    <row r="40" spans="1:11" ht="13.5">
      <c r="A40" s="240"/>
      <c r="B40" s="122"/>
      <c r="C40" s="122"/>
      <c r="D40" s="122"/>
      <c r="E40" s="122"/>
      <c r="F40" s="122"/>
      <c r="G40" s="122"/>
      <c r="H40" s="122"/>
      <c r="I40" s="122"/>
      <c r="J40" s="122"/>
      <c r="K40" s="122"/>
    </row>
    <row r="41" spans="1:11" ht="13.5">
      <c r="A41" s="240"/>
      <c r="B41" s="122"/>
      <c r="C41" s="122"/>
      <c r="D41" s="122"/>
      <c r="E41" s="122"/>
      <c r="F41" s="122"/>
      <c r="G41" s="122"/>
      <c r="H41" s="122"/>
      <c r="I41" s="122"/>
      <c r="J41" s="122"/>
      <c r="K41" s="122"/>
    </row>
    <row r="42" spans="1:11" ht="13.5">
      <c r="A42" s="240"/>
      <c r="B42" s="122"/>
      <c r="C42" s="122"/>
      <c r="D42" s="122"/>
      <c r="E42" s="122"/>
      <c r="F42" s="122"/>
      <c r="G42" s="122"/>
      <c r="H42" s="122"/>
      <c r="I42" s="122"/>
      <c r="J42" s="122"/>
      <c r="K42" s="122"/>
    </row>
    <row r="43" spans="1:11" ht="13.5">
      <c r="A43" s="240"/>
      <c r="B43" s="122"/>
      <c r="C43" s="238" t="s">
        <v>64</v>
      </c>
      <c r="D43" s="239"/>
      <c r="E43" s="239"/>
      <c r="F43" s="239"/>
      <c r="G43" s="239"/>
      <c r="H43" s="239"/>
      <c r="I43" s="239"/>
      <c r="J43" s="239"/>
      <c r="K43" s="239"/>
    </row>
    <row r="44" spans="1:11" ht="13.5">
      <c r="A44" s="240"/>
      <c r="B44" s="122"/>
      <c r="C44" s="239" t="s">
        <v>78</v>
      </c>
      <c r="D44" s="239"/>
      <c r="E44" s="239"/>
      <c r="F44" s="239"/>
      <c r="G44" s="239"/>
      <c r="H44" s="239"/>
      <c r="I44" s="239"/>
      <c r="J44" s="239"/>
      <c r="K44" s="239"/>
    </row>
    <row r="45" spans="1:11" ht="13.5">
      <c r="A45" s="240"/>
      <c r="B45" s="122"/>
      <c r="C45" s="239"/>
      <c r="D45" s="239"/>
      <c r="E45" s="239"/>
      <c r="F45" s="239"/>
      <c r="G45" s="239"/>
      <c r="H45" s="239"/>
      <c r="I45" s="239"/>
      <c r="J45" s="239"/>
      <c r="K45" s="239"/>
    </row>
    <row r="46" spans="1:11" ht="13.5">
      <c r="A46" s="240"/>
      <c r="B46" s="122"/>
      <c r="C46" s="239" t="s">
        <v>65</v>
      </c>
      <c r="D46" s="239"/>
      <c r="E46" s="239"/>
      <c r="F46" s="239"/>
      <c r="G46" s="239"/>
      <c r="H46" s="239"/>
      <c r="I46" s="239"/>
      <c r="J46" s="239"/>
      <c r="K46" s="239"/>
    </row>
    <row r="47" spans="1:11" ht="13.5">
      <c r="A47" s="240"/>
      <c r="B47" s="122"/>
      <c r="C47" s="239"/>
      <c r="D47" s="239"/>
      <c r="E47" s="239"/>
      <c r="F47" s="239"/>
      <c r="G47" s="239"/>
      <c r="H47" s="239"/>
      <c r="I47" s="239"/>
      <c r="J47" s="239"/>
      <c r="K47" s="239"/>
    </row>
    <row r="48" spans="1:11" ht="13.5">
      <c r="A48" s="240"/>
      <c r="B48" s="122"/>
      <c r="C48" s="239"/>
      <c r="D48" s="239"/>
      <c r="E48" s="239"/>
      <c r="F48" s="239"/>
      <c r="G48" s="239"/>
      <c r="H48" s="239"/>
      <c r="I48" s="239"/>
      <c r="J48" s="239"/>
      <c r="K48" s="239"/>
    </row>
    <row r="49" spans="1:11" ht="13.5">
      <c r="A49" s="240"/>
      <c r="B49" s="122"/>
      <c r="C49" s="239"/>
      <c r="D49" s="239"/>
      <c r="E49" s="239"/>
      <c r="F49" s="239"/>
      <c r="G49" s="239"/>
      <c r="H49" s="239"/>
      <c r="I49" s="239"/>
      <c r="J49" s="239"/>
      <c r="K49" s="239"/>
    </row>
    <row r="50" spans="1:11" ht="13.5">
      <c r="A50" s="240"/>
      <c r="B50" s="122"/>
      <c r="C50" s="239"/>
      <c r="D50" s="239"/>
      <c r="E50" s="239"/>
      <c r="F50" s="239"/>
      <c r="G50" s="239"/>
      <c r="H50" s="239"/>
      <c r="I50" s="239"/>
      <c r="J50" s="239"/>
      <c r="K50" s="239"/>
    </row>
    <row r="51" spans="1:11" ht="13.5">
      <c r="A51" s="240"/>
      <c r="B51" s="122"/>
      <c r="C51" s="239"/>
      <c r="D51" s="239"/>
      <c r="E51" s="239"/>
      <c r="F51" s="239"/>
      <c r="G51" s="239"/>
      <c r="H51" s="239"/>
      <c r="I51" s="239"/>
      <c r="J51" s="239"/>
      <c r="K51" s="239"/>
    </row>
    <row r="52" spans="1:11" ht="13.5">
      <c r="A52" s="240"/>
      <c r="B52" s="122"/>
      <c r="C52" s="239"/>
      <c r="D52" s="239"/>
      <c r="E52" s="239"/>
      <c r="F52" s="239"/>
      <c r="G52" s="239"/>
      <c r="H52" s="239"/>
      <c r="I52" s="239"/>
      <c r="J52" s="239"/>
      <c r="K52" s="239"/>
    </row>
    <row r="53" spans="1:11" ht="13.5">
      <c r="A53" s="240"/>
      <c r="B53" s="122"/>
      <c r="C53" s="122"/>
      <c r="D53" s="122"/>
      <c r="E53" s="122"/>
      <c r="F53" s="122"/>
      <c r="G53" s="122"/>
      <c r="H53" s="122"/>
      <c r="I53" s="122"/>
      <c r="J53" s="122"/>
      <c r="K53" s="122"/>
    </row>
    <row r="54" spans="1:11" ht="13.5">
      <c r="A54" s="240"/>
      <c r="B54" s="122"/>
      <c r="C54" s="214" t="str">
        <f>IF(M9=2," ","*incl. 8.1% IVA")</f>
        <v>*incl. 8.1% IVA</v>
      </c>
      <c r="D54" s="235"/>
      <c r="E54" s="122"/>
      <c r="F54" s="122"/>
      <c r="G54" s="122"/>
      <c r="H54" s="122"/>
      <c r="I54" s="122"/>
      <c r="J54" s="122"/>
      <c r="K54" s="122"/>
    </row>
    <row r="55" spans="1:11" ht="13.5">
      <c r="A55" s="240"/>
      <c r="B55" s="122"/>
      <c r="C55" s="215" t="str">
        <f>IF($M$9=1,Cartello!B32,IF($M$9=2,Cartello!B39,Cartello!B45))</f>
        <v>Il tasso effettivo di 7.75% rappresenta un costo annuo di CHF 1951 (escluso deprezzamento e assicurazione del veicolo)</v>
      </c>
      <c r="D55" s="122"/>
      <c r="E55" s="122"/>
      <c r="F55" s="122"/>
      <c r="G55" s="122"/>
      <c r="H55" s="122"/>
      <c r="I55" s="122"/>
      <c r="J55" s="122"/>
      <c r="K55" s="122"/>
    </row>
    <row r="56" spans="1:11" ht="13.5">
      <c r="A56" s="240"/>
      <c r="B56" s="122"/>
      <c r="C56" s="215" t="str">
        <f>IF($M$9=1,Cartello!B33,IF($M$9=2,Cartello!B40,Cartello!B46))</f>
        <v>La concessione del credito è vietata se causa un sovraindebitamento del consumatore (conformemente alle disposizioni dell'art 3 LCSI). </v>
      </c>
      <c r="D56" s="122"/>
      <c r="E56" s="122"/>
      <c r="F56" s="122"/>
      <c r="G56" s="122"/>
      <c r="H56" s="122"/>
      <c r="I56" s="122"/>
      <c r="J56" s="122"/>
      <c r="K56" s="122"/>
    </row>
    <row r="57" spans="1:11" ht="13.5">
      <c r="A57" s="240"/>
      <c r="B57" s="122"/>
      <c r="C57" s="122"/>
      <c r="D57" s="122"/>
      <c r="E57" s="122"/>
      <c r="F57" s="122"/>
      <c r="G57" s="122"/>
      <c r="H57" s="122"/>
      <c r="I57" s="122"/>
      <c r="J57" s="122"/>
      <c r="K57" s="122"/>
    </row>
    <row r="58" spans="1:11" ht="13.5">
      <c r="A58" s="240"/>
      <c r="B58" s="122"/>
      <c r="C58" s="122"/>
      <c r="D58" s="122"/>
      <c r="E58" s="122"/>
      <c r="F58" s="122"/>
      <c r="G58" s="122"/>
      <c r="H58" s="122"/>
      <c r="I58" s="122"/>
      <c r="J58" s="122"/>
      <c r="K58" s="122"/>
    </row>
    <row r="59" spans="1:11" ht="13.5">
      <c r="A59" s="240"/>
      <c r="B59" s="122"/>
      <c r="C59" s="122"/>
      <c r="D59" s="122"/>
      <c r="E59" s="122"/>
      <c r="F59" s="122"/>
      <c r="G59" s="122"/>
      <c r="H59" s="122"/>
      <c r="I59" s="122"/>
      <c r="J59" s="122"/>
      <c r="K59" s="122"/>
    </row>
    <row r="60" spans="1:11" ht="13.5">
      <c r="A60" s="240"/>
      <c r="B60" s="122"/>
      <c r="C60" s="122"/>
      <c r="D60" s="122"/>
      <c r="E60" s="122"/>
      <c r="F60" s="122"/>
      <c r="G60" s="122"/>
      <c r="H60" s="122"/>
      <c r="I60" s="122"/>
      <c r="J60" s="122"/>
      <c r="K60" s="237" t="str">
        <f>LEASING!N22</f>
        <v>v 03.2024</v>
      </c>
    </row>
  </sheetData>
  <sheetProtection password="CEB8" sheet="1" objects="1" scenarios="1" selectLockedCells="1"/>
  <mergeCells count="4">
    <mergeCell ref="M21:M22"/>
    <mergeCell ref="M23:M24"/>
    <mergeCell ref="M25:M26"/>
    <mergeCell ref="C17:K17"/>
  </mergeCells>
  <conditionalFormatting sqref="M23:M24">
    <cfRule type="expression" priority="2" dxfId="5" stopIfTrue="1">
      <formula>$M$9=2</formula>
    </cfRule>
  </conditionalFormatting>
  <conditionalFormatting sqref="M21:M22">
    <cfRule type="expression" priority="3" dxfId="5" stopIfTrue="1">
      <formula>$M$9=1</formula>
    </cfRule>
  </conditionalFormatting>
  <conditionalFormatting sqref="M25:M26">
    <cfRule type="expression" priority="4" dxfId="5" stopIfTrue="1">
      <formula>$M$9=3</formula>
    </cfRule>
  </conditionalFormatting>
  <printOptions/>
  <pageMargins left="0.31496062992125984" right="0.7086614173228347" top="0.35433070866141736" bottom="0.7480314960629921" header="0.31496062992125984" footer="0.31496062992125984"/>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Sheet11">
    <tabColor rgb="FFFFC000"/>
    <pageSetUpPr fitToPage="1"/>
  </sheetPr>
  <dimension ref="A1:AA46"/>
  <sheetViews>
    <sheetView showGridLines="0" zoomScale="85" zoomScaleNormal="85" workbookViewId="0" topLeftCell="A1">
      <selection activeCell="A1" sqref="A1"/>
    </sheetView>
  </sheetViews>
  <sheetFormatPr defaultColWidth="9.140625" defaultRowHeight="12.75"/>
  <cols>
    <col min="1" max="1" width="6.7109375" style="200" customWidth="1"/>
    <col min="2" max="2" width="2.28125" style="200" customWidth="1"/>
    <col min="3" max="4" width="14.8515625" style="200" customWidth="1"/>
    <col min="5" max="5" width="10.57421875" style="200" bestFit="1" customWidth="1"/>
    <col min="6" max="6" width="9.140625" style="200" customWidth="1"/>
    <col min="7" max="7" width="16.8515625" style="200" customWidth="1"/>
    <col min="8" max="8" width="9.8515625" style="200" bestFit="1" customWidth="1"/>
    <col min="9" max="9" width="10.28125" style="200" customWidth="1"/>
    <col min="10" max="13" width="9.140625" style="200" customWidth="1"/>
    <col min="14" max="15" width="14.8515625" style="200" customWidth="1"/>
    <col min="16" max="16" width="6.7109375" style="200" customWidth="1"/>
    <col min="17" max="17" width="4.7109375" style="200" customWidth="1"/>
    <col min="18" max="18" width="21.57421875" style="216" customWidth="1"/>
    <col min="19" max="19" width="9.140625" style="200" customWidth="1"/>
    <col min="20" max="20" width="14.421875" style="200" bestFit="1" customWidth="1"/>
    <col min="21" max="21" width="9.140625" style="200" customWidth="1"/>
    <col min="22" max="23" width="0" style="200" hidden="1" customWidth="1"/>
    <col min="24" max="24" width="9.140625" style="200" customWidth="1"/>
    <col min="25" max="27" width="0" style="200" hidden="1" customWidth="1"/>
    <col min="28" max="16384" width="9.140625" style="200" customWidth="1"/>
  </cols>
  <sheetData>
    <row r="1" spans="1:16" ht="15.75" customHeight="1">
      <c r="A1" s="198"/>
      <c r="B1" s="198"/>
      <c r="C1" s="198"/>
      <c r="D1" s="198"/>
      <c r="E1" s="198"/>
      <c r="F1" s="198"/>
      <c r="G1" s="198"/>
      <c r="H1" s="198"/>
      <c r="I1" s="198"/>
      <c r="J1" s="198"/>
      <c r="K1" s="198"/>
      <c r="L1" s="198"/>
      <c r="M1" s="198"/>
      <c r="N1" s="198"/>
      <c r="O1" s="198"/>
      <c r="P1" s="198"/>
    </row>
    <row r="2" spans="1:16" ht="141" customHeight="1">
      <c r="A2" s="198"/>
      <c r="B2" s="198"/>
      <c r="C2" s="217"/>
      <c r="D2" s="217"/>
      <c r="E2" s="217"/>
      <c r="F2" s="218"/>
      <c r="G2" s="218"/>
      <c r="H2" s="218"/>
      <c r="I2" s="218"/>
      <c r="J2" s="218"/>
      <c r="K2" s="218"/>
      <c r="L2" s="218"/>
      <c r="M2" s="218"/>
      <c r="N2" s="218"/>
      <c r="O2" s="218"/>
      <c r="P2" s="122"/>
    </row>
    <row r="3" spans="1:27" ht="103.5" customHeight="1">
      <c r="A3" s="122"/>
      <c r="B3" s="332">
        <f>E22</f>
        <v>1254.0500000000002</v>
      </c>
      <c r="C3" s="332"/>
      <c r="D3" s="332"/>
      <c r="E3" s="332"/>
      <c r="F3" s="332"/>
      <c r="G3" s="332"/>
      <c r="H3" s="332"/>
      <c r="I3" s="332"/>
      <c r="J3" s="332"/>
      <c r="K3" s="332"/>
      <c r="L3" s="332"/>
      <c r="M3" s="332"/>
      <c r="N3" s="332"/>
      <c r="O3" s="332"/>
      <c r="P3" s="122"/>
      <c r="AA3" s="216">
        <v>1</v>
      </c>
    </row>
    <row r="4" spans="1:16" ht="103.5" customHeight="1">
      <c r="A4" s="122"/>
      <c r="B4" s="333" t="str">
        <f>IF(AA3=2," al mese"," al mese*")</f>
        <v> al mese*</v>
      </c>
      <c r="C4" s="333"/>
      <c r="D4" s="333"/>
      <c r="E4" s="333"/>
      <c r="F4" s="333"/>
      <c r="G4" s="333"/>
      <c r="H4" s="333"/>
      <c r="I4" s="333"/>
      <c r="J4" s="333"/>
      <c r="K4" s="333"/>
      <c r="L4" s="333"/>
      <c r="M4" s="333"/>
      <c r="N4" s="333"/>
      <c r="O4" s="333"/>
      <c r="P4" s="122"/>
    </row>
    <row r="5" spans="1:18" ht="47.25">
      <c r="A5" s="122"/>
      <c r="B5" s="334" t="s">
        <v>54</v>
      </c>
      <c r="C5" s="334"/>
      <c r="D5" s="334"/>
      <c r="E5" s="334"/>
      <c r="F5" s="334"/>
      <c r="G5" s="334"/>
      <c r="H5" s="334"/>
      <c r="I5" s="334"/>
      <c r="J5" s="334"/>
      <c r="K5" s="334"/>
      <c r="L5" s="334"/>
      <c r="M5" s="334"/>
      <c r="N5" s="334"/>
      <c r="O5" s="334"/>
      <c r="P5" s="122"/>
      <c r="R5" s="219" t="str">
        <f>CONCATENATE("CHF ",IF(AND(E22*10=INT(E22*10),E22&lt;&gt;INT(E22)),CONCATENATE(E22,"0"),IF(AND(E22*10=INT(E22*10),E22=INT(E22)),CONCATENATE(E22,".00"),E22)))</f>
        <v>CHF 1254.05</v>
      </c>
    </row>
    <row r="6" spans="1:16" ht="24.75" customHeight="1">
      <c r="A6" s="122"/>
      <c r="B6" s="122"/>
      <c r="C6" s="122"/>
      <c r="D6" s="122"/>
      <c r="E6" s="122"/>
      <c r="F6" s="122"/>
      <c r="G6" s="122"/>
      <c r="H6" s="122"/>
      <c r="I6" s="122"/>
      <c r="J6" s="122"/>
      <c r="K6" s="122"/>
      <c r="L6" s="122"/>
      <c r="M6" s="122"/>
      <c r="N6" s="122"/>
      <c r="O6" s="122"/>
      <c r="P6" s="122"/>
    </row>
    <row r="7" spans="1:18" ht="11.25" customHeight="1">
      <c r="A7" s="122"/>
      <c r="B7" s="122"/>
      <c r="C7" s="122"/>
      <c r="D7" s="122"/>
      <c r="E7" s="122"/>
      <c r="F7" s="122"/>
      <c r="G7" s="122"/>
      <c r="H7" s="122"/>
      <c r="I7" s="122"/>
      <c r="J7" s="122"/>
      <c r="K7" s="122"/>
      <c r="L7" s="122"/>
      <c r="M7" s="122"/>
      <c r="N7" s="122"/>
      <c r="O7" s="122"/>
      <c r="P7" s="122"/>
      <c r="R7" s="220"/>
    </row>
    <row r="8" spans="1:18" ht="33" customHeight="1" thickBot="1">
      <c r="A8" s="122"/>
      <c r="B8" s="331" t="s">
        <v>67</v>
      </c>
      <c r="C8" s="331"/>
      <c r="D8" s="331"/>
      <c r="E8" s="331"/>
      <c r="F8" s="331"/>
      <c r="G8" s="331"/>
      <c r="H8" s="331"/>
      <c r="I8" s="331"/>
      <c r="J8" s="331"/>
      <c r="K8" s="331"/>
      <c r="L8" s="331"/>
      <c r="M8" s="331"/>
      <c r="N8" s="331"/>
      <c r="O8" s="331"/>
      <c r="P8" s="122"/>
      <c r="R8" s="221" t="s">
        <v>0</v>
      </c>
    </row>
    <row r="9" spans="1:18" ht="33" customHeight="1" thickBot="1" thickTop="1">
      <c r="A9" s="122"/>
      <c r="B9" s="331" t="s">
        <v>66</v>
      </c>
      <c r="C9" s="331"/>
      <c r="D9" s="331"/>
      <c r="E9" s="331"/>
      <c r="F9" s="331"/>
      <c r="G9" s="331"/>
      <c r="H9" s="331"/>
      <c r="I9" s="331"/>
      <c r="J9" s="331"/>
      <c r="K9" s="331"/>
      <c r="L9" s="331"/>
      <c r="M9" s="331"/>
      <c r="N9" s="331"/>
      <c r="O9" s="331"/>
      <c r="P9" s="122"/>
      <c r="R9" s="221" t="s">
        <v>63</v>
      </c>
    </row>
    <row r="10" spans="1:18" ht="33" customHeight="1" thickTop="1">
      <c r="A10" s="122"/>
      <c r="B10" s="122"/>
      <c r="C10" s="122"/>
      <c r="D10" s="122"/>
      <c r="E10" s="122"/>
      <c r="F10" s="122"/>
      <c r="G10" s="122"/>
      <c r="H10" s="122"/>
      <c r="I10" s="122"/>
      <c r="J10" s="122"/>
      <c r="K10" s="122"/>
      <c r="L10" s="122"/>
      <c r="M10" s="122"/>
      <c r="N10" s="122"/>
      <c r="O10" s="122"/>
      <c r="P10" s="122"/>
      <c r="R10" s="312"/>
    </row>
    <row r="11" spans="1:16" ht="16.5" customHeight="1">
      <c r="A11" s="122"/>
      <c r="B11" s="122"/>
      <c r="C11" s="208"/>
      <c r="D11" s="208"/>
      <c r="E11" s="208"/>
      <c r="F11" s="208"/>
      <c r="G11" s="208"/>
      <c r="H11" s="208"/>
      <c r="I11" s="208"/>
      <c r="J11" s="208"/>
      <c r="K11" s="208"/>
      <c r="L11" s="208"/>
      <c r="M11" s="208"/>
      <c r="N11" s="208"/>
      <c r="O11" s="208"/>
      <c r="P11" s="122"/>
    </row>
    <row r="12" spans="1:16" ht="12.75" customHeight="1">
      <c r="A12" s="122"/>
      <c r="B12" s="208"/>
      <c r="C12" s="208"/>
      <c r="D12" s="208"/>
      <c r="E12" s="208"/>
      <c r="F12" s="208"/>
      <c r="G12" s="208"/>
      <c r="H12" s="208"/>
      <c r="I12" s="208"/>
      <c r="J12" s="208"/>
      <c r="K12" s="208"/>
      <c r="L12" s="208"/>
      <c r="M12" s="208"/>
      <c r="N12" s="208"/>
      <c r="O12" s="208"/>
      <c r="P12" s="122"/>
    </row>
    <row r="13" spans="1:16" ht="13.5">
      <c r="A13" s="122"/>
      <c r="B13" s="222" t="str">
        <f>IF($AA$3=1,B31,IF($AA$3=2,B38,B44))</f>
        <v>Questo calcolo di Leasing si basa su un prezzo di acquisto di CHF 50000*  con un valore di riscatto di CHF 1000*, una durata di 48 mesi</v>
      </c>
      <c r="C13" s="122"/>
      <c r="D13" s="122"/>
      <c r="E13" s="122"/>
      <c r="F13" s="122"/>
      <c r="G13" s="122"/>
      <c r="H13" s="122"/>
      <c r="I13" s="122"/>
      <c r="J13" s="122"/>
      <c r="K13" s="122"/>
      <c r="L13" s="122"/>
      <c r="M13" s="122"/>
      <c r="N13" s="122"/>
      <c r="O13" s="122"/>
      <c r="P13" s="122"/>
    </row>
    <row r="14" spans="1:16" ht="13.5">
      <c r="A14" s="122"/>
      <c r="B14" s="222" t="str">
        <f>IF($AA$3=1,B32,IF($AA$3=2,B39,B45))</f>
        <v>Il tasso effettivo di 7.75% rappresenta un costo annuo di CHF 1951 (escluso deprezzamento e assicurazione del veicolo)</v>
      </c>
      <c r="C14" s="122"/>
      <c r="D14" s="122"/>
      <c r="E14" s="122"/>
      <c r="F14" s="122"/>
      <c r="G14" s="122"/>
      <c r="H14" s="122"/>
      <c r="I14" s="122"/>
      <c r="J14" s="122"/>
      <c r="K14" s="122"/>
      <c r="L14" s="122"/>
      <c r="M14" s="122"/>
      <c r="N14" s="122"/>
      <c r="O14" s="122"/>
      <c r="P14" s="122"/>
    </row>
    <row r="15" spans="1:16" ht="13.5">
      <c r="A15" s="122"/>
      <c r="B15" s="222" t="str">
        <f>IF($AA$3=1,B33,IF(AA3=2,B40,B46))</f>
        <v>La concessione del credito è vietata se causa un sovraindebitamento del consumatore (conformemente alle disposizioni dell'art 3 LCSI). </v>
      </c>
      <c r="C15" s="122"/>
      <c r="D15" s="122"/>
      <c r="E15" s="122"/>
      <c r="F15" s="122"/>
      <c r="G15" s="122"/>
      <c r="H15" s="122"/>
      <c r="I15" s="122"/>
      <c r="J15" s="122"/>
      <c r="K15" s="122"/>
      <c r="L15" s="122"/>
      <c r="M15" s="122"/>
      <c r="N15" s="122"/>
      <c r="O15" s="211" t="str">
        <f>IF(AA3=2," ","*incl. 8.1% IVA")</f>
        <v>*incl. 8.1% IVA</v>
      </c>
      <c r="P15" s="122"/>
    </row>
    <row r="16" spans="1:16" ht="13.5">
      <c r="A16" s="122"/>
      <c r="B16" s="208"/>
      <c r="C16" s="122"/>
      <c r="D16" s="122"/>
      <c r="E16" s="122"/>
      <c r="F16" s="122"/>
      <c r="G16" s="122"/>
      <c r="H16" s="122"/>
      <c r="I16" s="122"/>
      <c r="J16" s="122"/>
      <c r="K16" s="122"/>
      <c r="L16" s="122"/>
      <c r="M16" s="122"/>
      <c r="N16" s="122"/>
      <c r="O16" s="122"/>
      <c r="P16" s="122"/>
    </row>
    <row r="17" spans="1:18" ht="15">
      <c r="A17" s="223"/>
      <c r="B17" s="223"/>
      <c r="C17" s="223"/>
      <c r="D17" s="223"/>
      <c r="E17" s="223"/>
      <c r="F17" s="223"/>
      <c r="G17" s="223"/>
      <c r="H17" s="223"/>
      <c r="I17" s="223"/>
      <c r="J17" s="223"/>
      <c r="K17" s="223"/>
      <c r="L17" s="223"/>
      <c r="M17" s="223"/>
      <c r="N17" s="223"/>
      <c r="O17" s="223"/>
      <c r="P17" s="223"/>
      <c r="R17" s="200"/>
    </row>
    <row r="18" spans="1:18" ht="15">
      <c r="A18" s="223"/>
      <c r="B18" s="223"/>
      <c r="C18" s="223"/>
      <c r="D18" s="223"/>
      <c r="E18" s="223"/>
      <c r="F18" s="223"/>
      <c r="G18" s="223"/>
      <c r="H18" s="223"/>
      <c r="I18" s="223"/>
      <c r="J18" s="223"/>
      <c r="K18" s="223"/>
      <c r="L18" s="223"/>
      <c r="M18" s="223"/>
      <c r="N18" s="223"/>
      <c r="O18" s="223"/>
      <c r="P18" s="223"/>
      <c r="R18" s="200"/>
    </row>
    <row r="19" spans="1:18" ht="15">
      <c r="A19" s="223"/>
      <c r="B19" s="223"/>
      <c r="C19" s="223"/>
      <c r="D19" s="223"/>
      <c r="E19" s="223"/>
      <c r="F19" s="223"/>
      <c r="G19" s="223"/>
      <c r="H19" s="223"/>
      <c r="I19" s="223"/>
      <c r="J19" s="223"/>
      <c r="K19" s="223"/>
      <c r="L19" s="223"/>
      <c r="M19" s="223"/>
      <c r="N19" s="223"/>
      <c r="O19" s="223"/>
      <c r="P19" s="223"/>
      <c r="R19" s="200"/>
    </row>
    <row r="20" spans="1:18" ht="15">
      <c r="A20" s="223"/>
      <c r="B20" s="223"/>
      <c r="C20" s="223"/>
      <c r="D20" s="223"/>
      <c r="E20" s="223"/>
      <c r="F20" s="223"/>
      <c r="G20" s="223"/>
      <c r="H20" s="223"/>
      <c r="I20" s="223"/>
      <c r="J20" s="223"/>
      <c r="K20" s="223"/>
      <c r="L20" s="223"/>
      <c r="M20" s="223"/>
      <c r="N20" s="223"/>
      <c r="O20" s="223"/>
      <c r="P20" s="223"/>
      <c r="R20" s="200"/>
    </row>
    <row r="21" spans="1:18" ht="15" hidden="1">
      <c r="A21" s="223"/>
      <c r="B21" s="223"/>
      <c r="C21" s="223"/>
      <c r="D21" s="223"/>
      <c r="E21" s="223"/>
      <c r="F21" s="223"/>
      <c r="G21" s="223"/>
      <c r="H21" s="223"/>
      <c r="I21" s="223"/>
      <c r="J21" s="223"/>
      <c r="K21" s="223"/>
      <c r="L21" s="223"/>
      <c r="M21" s="223"/>
      <c r="N21" s="223"/>
      <c r="O21" s="223"/>
      <c r="P21" s="223"/>
      <c r="R21" s="200"/>
    </row>
    <row r="22" spans="1:18" ht="15" hidden="1">
      <c r="A22" s="223"/>
      <c r="B22" s="223"/>
      <c r="C22" s="223" t="s">
        <v>7</v>
      </c>
      <c r="D22" s="223"/>
      <c r="E22" s="223">
        <f>IF(AA3=1,LEASING!$N$11,IF(AA3=2,FINANZIAMENTO!$O$11,))</f>
        <v>1254.0500000000002</v>
      </c>
      <c r="F22" s="223"/>
      <c r="G22" s="223"/>
      <c r="H22" s="223"/>
      <c r="I22" s="223"/>
      <c r="J22" s="223"/>
      <c r="K22" s="223"/>
      <c r="L22" s="223"/>
      <c r="M22" s="223"/>
      <c r="N22" s="223"/>
      <c r="O22" s="223"/>
      <c r="P22" s="223"/>
      <c r="R22" s="200"/>
    </row>
    <row r="23" spans="1:18" ht="15" hidden="1">
      <c r="A23" s="223"/>
      <c r="B23" s="223"/>
      <c r="C23" s="223"/>
      <c r="D23" s="223"/>
      <c r="E23" s="223"/>
      <c r="F23" s="223"/>
      <c r="G23" s="223"/>
      <c r="H23" s="223"/>
      <c r="I23" s="223"/>
      <c r="J23" s="223"/>
      <c r="K23" s="223"/>
      <c r="L23" s="223"/>
      <c r="M23" s="223"/>
      <c r="N23" s="223"/>
      <c r="O23" s="223"/>
      <c r="P23" s="223"/>
      <c r="R23" s="200"/>
    </row>
    <row r="24" spans="1:18" ht="15" hidden="1">
      <c r="A24" s="223"/>
      <c r="B24" s="223"/>
      <c r="C24" s="223" t="s">
        <v>55</v>
      </c>
      <c r="D24" s="223"/>
      <c r="E24" s="224">
        <f>IF(AA3=1,LEASING!$H$9,IF(AA3=2,FINANZIAMENTO!$I$9,))</f>
        <v>50000</v>
      </c>
      <c r="G24" s="223"/>
      <c r="H24" s="224"/>
      <c r="I24" s="224"/>
      <c r="J24" s="223"/>
      <c r="K24" s="223"/>
      <c r="L24" s="223"/>
      <c r="M24" s="223"/>
      <c r="N24" s="223"/>
      <c r="O24" s="223"/>
      <c r="P24" s="223"/>
      <c r="R24" s="200"/>
    </row>
    <row r="25" spans="1:18" ht="15" hidden="1">
      <c r="A25" s="223"/>
      <c r="B25" s="223"/>
      <c r="C25" s="223" t="str">
        <f>IF(AA3=1,LEASING!$D$17,FINANZIAMENTO!$D$11)</f>
        <v>1° canone maggiorato</v>
      </c>
      <c r="D25" s="223"/>
      <c r="E25" s="223">
        <f>IF(AA3=1,LEASING!$H$17,IF(AA3=2,FINANZIAMENTO!$I$11,))</f>
        <v>0</v>
      </c>
      <c r="F25" s="223">
        <f>IF(AC3=1,"(inkl. 7.6% MWSt.)","")</f>
      </c>
      <c r="G25" s="223"/>
      <c r="H25" s="223"/>
      <c r="I25" s="223"/>
      <c r="J25" s="223"/>
      <c r="K25" s="223"/>
      <c r="L25" s="223"/>
      <c r="M25" s="223"/>
      <c r="N25" s="223"/>
      <c r="O25" s="223"/>
      <c r="P25" s="223"/>
      <c r="R25" s="200"/>
    </row>
    <row r="26" spans="1:18" ht="15" hidden="1">
      <c r="A26" s="223"/>
      <c r="B26" s="223"/>
      <c r="C26" s="223" t="s">
        <v>51</v>
      </c>
      <c r="D26" s="223"/>
      <c r="E26" s="223">
        <f>IF(AA3=1,LEASING!$H$13,IF(AA3=2,FINANZIAMENTO!$I$15,))</f>
        <v>48</v>
      </c>
      <c r="F26" s="223"/>
      <c r="G26" s="223"/>
      <c r="H26" s="223"/>
      <c r="I26" s="223"/>
      <c r="J26" s="223"/>
      <c r="K26" s="223"/>
      <c r="L26" s="223"/>
      <c r="M26" s="223"/>
      <c r="N26" s="223"/>
      <c r="O26" s="223"/>
      <c r="P26" s="223"/>
      <c r="R26" s="200"/>
    </row>
    <row r="27" spans="1:18" ht="15" hidden="1">
      <c r="A27" s="223"/>
      <c r="B27" s="223"/>
      <c r="C27" s="223"/>
      <c r="D27" s="223"/>
      <c r="E27" s="223"/>
      <c r="F27" s="223"/>
      <c r="G27" s="223"/>
      <c r="H27" s="223"/>
      <c r="I27" s="223"/>
      <c r="J27" s="223"/>
      <c r="K27" s="223"/>
      <c r="L27" s="223"/>
      <c r="M27" s="223"/>
      <c r="N27" s="223"/>
      <c r="O27" s="223"/>
      <c r="P27" s="223"/>
      <c r="R27" s="200"/>
    </row>
    <row r="28" spans="1:18" ht="15" hidden="1">
      <c r="A28" s="223"/>
      <c r="B28" s="223"/>
      <c r="C28" s="223"/>
      <c r="D28" s="223"/>
      <c r="E28" s="223"/>
      <c r="F28" s="223"/>
      <c r="G28" s="223"/>
      <c r="H28" s="223"/>
      <c r="I28" s="223"/>
      <c r="J28" s="223"/>
      <c r="K28" s="223"/>
      <c r="L28" s="223"/>
      <c r="M28" s="223"/>
      <c r="N28" s="223"/>
      <c r="O28" s="223"/>
      <c r="P28" s="223"/>
      <c r="R28" s="200"/>
    </row>
    <row r="29" spans="1:18" ht="15" hidden="1">
      <c r="A29" s="223"/>
      <c r="B29" s="223"/>
      <c r="C29" s="223"/>
      <c r="D29" s="223"/>
      <c r="E29" s="223"/>
      <c r="F29" s="223"/>
      <c r="G29" s="223"/>
      <c r="H29" s="223"/>
      <c r="I29" s="223"/>
      <c r="J29" s="223"/>
      <c r="K29" s="223"/>
      <c r="L29" s="223"/>
      <c r="M29" s="223"/>
      <c r="N29" s="223"/>
      <c r="O29" s="223"/>
      <c r="P29" s="223"/>
      <c r="R29" s="200"/>
    </row>
    <row r="30" spans="1:18" ht="15" hidden="1">
      <c r="A30" s="223"/>
      <c r="B30" s="225" t="s">
        <v>0</v>
      </c>
      <c r="C30" s="223"/>
      <c r="D30" s="223"/>
      <c r="E30" s="223"/>
      <c r="F30" s="223"/>
      <c r="G30" s="223"/>
      <c r="H30" s="223"/>
      <c r="I30" s="223"/>
      <c r="J30" s="223"/>
      <c r="K30" s="223"/>
      <c r="L30" s="223"/>
      <c r="M30" s="223"/>
      <c r="N30" s="223"/>
      <c r="O30" s="223"/>
      <c r="P30" s="223"/>
      <c r="R30" s="200"/>
    </row>
    <row r="31" spans="1:18" ht="15" hidden="1">
      <c r="A31" s="223"/>
      <c r="B31" s="226" t="str">
        <f>CONCATENATE("Questo calcolo di Leasing si basa su un prezzo di acquisto di CHF ",E24,"* ",IF(LEASING!A98=TRUE,"(imposta sul margine)",)," con un valore di riscatto di CHF ",LEASING!$H$15,"*",", una durata di ",E26," mesi",IF(AND(LEASING!H17&gt;0,AA3=1)," e un "&amp;LEASING!D17&amp;" di CHF "&amp;LEASING!H17,""))</f>
        <v>Questo calcolo di Leasing si basa su un prezzo di acquisto di CHF 50000*  con un valore di riscatto di CHF 1000*, una durata di 48 mesi</v>
      </c>
      <c r="C31" s="227"/>
      <c r="D31" s="227"/>
      <c r="E31" s="227"/>
      <c r="F31" s="227"/>
      <c r="G31" s="227"/>
      <c r="H31" s="227"/>
      <c r="I31" s="227"/>
      <c r="J31" s="227"/>
      <c r="K31" s="223"/>
      <c r="L31" s="223"/>
      <c r="M31" s="223"/>
      <c r="N31" s="223"/>
      <c r="O31" s="223"/>
      <c r="P31" s="223"/>
      <c r="R31" s="200"/>
    </row>
    <row r="32" spans="1:18" ht="15" hidden="1">
      <c r="A32" s="223"/>
      <c r="B32" s="228" t="str">
        <f>CONCATENATE("Il tasso effettivo di ",ROUND(LEASING!$F$21*100,2),"%"," rappresenta un costo annuo di CHF ",ROUND(LEASING!N12,0)," (escluso deprezzamento e assicurazione del veicolo)")</f>
        <v>Il tasso effettivo di 7.75% rappresenta un costo annuo di CHF 1951 (escluso deprezzamento e assicurazione del veicolo)</v>
      </c>
      <c r="C32" s="223"/>
      <c r="D32" s="223"/>
      <c r="E32" s="223"/>
      <c r="F32" s="223"/>
      <c r="G32" s="223"/>
      <c r="H32" s="223"/>
      <c r="I32" s="223"/>
      <c r="J32" s="223"/>
      <c r="K32" s="223"/>
      <c r="L32" s="223"/>
      <c r="M32" s="223"/>
      <c r="N32" s="223"/>
      <c r="O32" s="223"/>
      <c r="P32" s="223"/>
      <c r="R32" s="200"/>
    </row>
    <row r="33" spans="1:18" ht="15" hidden="1">
      <c r="A33" s="223"/>
      <c r="B33" s="229" t="s">
        <v>68</v>
      </c>
      <c r="C33" s="223"/>
      <c r="D33" s="223"/>
      <c r="E33" s="223"/>
      <c r="F33" s="223"/>
      <c r="G33" s="223"/>
      <c r="H33" s="223"/>
      <c r="I33" s="223"/>
      <c r="J33" s="223"/>
      <c r="K33" s="223"/>
      <c r="L33" s="223"/>
      <c r="M33" s="223"/>
      <c r="N33" s="223"/>
      <c r="O33" s="223"/>
      <c r="P33" s="223"/>
      <c r="R33" s="200"/>
    </row>
    <row r="34" spans="1:18" ht="15" hidden="1">
      <c r="A34" s="223"/>
      <c r="B34" s="229"/>
      <c r="C34" s="223"/>
      <c r="D34" s="223"/>
      <c r="E34" s="223"/>
      <c r="F34" s="223"/>
      <c r="G34" s="223"/>
      <c r="H34" s="223"/>
      <c r="I34" s="223"/>
      <c r="J34" s="223"/>
      <c r="K34" s="223"/>
      <c r="L34" s="223"/>
      <c r="M34" s="223"/>
      <c r="N34" s="223"/>
      <c r="O34" s="223"/>
      <c r="P34" s="223"/>
      <c r="R34" s="200"/>
    </row>
    <row r="35" spans="1:18" ht="15" hidden="1">
      <c r="A35" s="223"/>
      <c r="B35" s="230" t="s">
        <v>126</v>
      </c>
      <c r="C35" s="227"/>
      <c r="D35" s="227"/>
      <c r="E35" s="223"/>
      <c r="F35" s="223"/>
      <c r="G35" s="223"/>
      <c r="H35" s="223"/>
      <c r="I35" s="223"/>
      <c r="J35" s="223"/>
      <c r="K35" s="223"/>
      <c r="L35" s="223"/>
      <c r="M35" s="223"/>
      <c r="N35" s="223"/>
      <c r="O35" s="223"/>
      <c r="P35" s="223"/>
      <c r="R35" s="200"/>
    </row>
    <row r="36" spans="1:18" ht="15" hidden="1">
      <c r="A36" s="223"/>
      <c r="B36" s="223" t="s">
        <v>1</v>
      </c>
      <c r="C36" s="223"/>
      <c r="D36" s="223"/>
      <c r="E36" s="223"/>
      <c r="F36" s="223"/>
      <c r="G36" s="223"/>
      <c r="H36" s="223"/>
      <c r="I36" s="223"/>
      <c r="J36" s="223"/>
      <c r="K36" s="223"/>
      <c r="L36" s="223"/>
      <c r="M36" s="223"/>
      <c r="N36" s="223"/>
      <c r="O36" s="223"/>
      <c r="P36" s="223"/>
      <c r="R36" s="200"/>
    </row>
    <row r="37" spans="1:18" ht="15" hidden="1">
      <c r="A37" s="223"/>
      <c r="B37" s="225" t="s">
        <v>49</v>
      </c>
      <c r="C37" s="223"/>
      <c r="D37" s="223"/>
      <c r="E37" s="223"/>
      <c r="F37" s="223"/>
      <c r="G37" s="223"/>
      <c r="H37" s="223"/>
      <c r="I37" s="223"/>
      <c r="J37" s="223"/>
      <c r="K37" s="223"/>
      <c r="L37" s="223"/>
      <c r="M37" s="223"/>
      <c r="N37" s="223"/>
      <c r="O37" s="223"/>
      <c r="P37" s="223"/>
      <c r="R37" s="200"/>
    </row>
    <row r="38" spans="1:18" ht="15" hidden="1">
      <c r="A38" s="223"/>
      <c r="B38" s="229" t="str">
        <f>IF(FINANZIAMENTO!I11=0,CONCATENATE("Questo calcolo di Finanziamento si basa su un importo del credito di CHF ",FINANZIAMENTO!I13),CONCATENATE("Questo calcolo di Finanziamento si basa su un prezzo di vendita di CHF ",FINANZIAMENTO!I9," con un aconto di CHF ",FINANZIAMENTO!I11," il importo del credito e CHF",FINANZIAMENTO!I13))</f>
        <v>Questo calcolo di Finanziamento si basa su un importo del credito di CHF 20000</v>
      </c>
      <c r="C38" s="223"/>
      <c r="D38" s="223"/>
      <c r="E38" s="223"/>
      <c r="F38" s="223"/>
      <c r="G38" s="223"/>
      <c r="H38" s="223"/>
      <c r="I38" s="223"/>
      <c r="J38" s="223"/>
      <c r="K38" s="223"/>
      <c r="L38" s="223"/>
      <c r="M38" s="223"/>
      <c r="N38" s="223"/>
      <c r="O38" s="223"/>
      <c r="P38" s="223"/>
      <c r="R38" s="200"/>
    </row>
    <row r="39" spans="1:18" ht="15" hidden="1">
      <c r="A39" s="223"/>
      <c r="B39" s="229" t="str">
        <f>CONCATENATE("Il tasso effettivo di ",FINANZIAMENTO!I19*100,"%"," rappresenta un costo complessivo di CHF",ROUND(Finanzierung_Darlehen!B28,)," con una durata di ",FINANZIAMENTO!I15," mesi.")</f>
        <v>Il tasso effettivo di 9.95% rappresenta un costo complessivo di CHF4130 con una durata di 48 mesi.</v>
      </c>
      <c r="C39" s="223"/>
      <c r="D39" s="223"/>
      <c r="E39" s="223"/>
      <c r="F39" s="223"/>
      <c r="G39" s="223"/>
      <c r="H39" s="223"/>
      <c r="I39" s="223"/>
      <c r="J39" s="223"/>
      <c r="K39" s="223"/>
      <c r="L39" s="223"/>
      <c r="M39" s="223"/>
      <c r="N39" s="223"/>
      <c r="O39" s="223"/>
      <c r="P39" s="223"/>
      <c r="R39" s="200"/>
    </row>
    <row r="40" spans="1:18" ht="15" hidden="1">
      <c r="A40" s="223"/>
      <c r="B40" s="229" t="s">
        <v>68</v>
      </c>
      <c r="C40" s="223"/>
      <c r="D40" s="223"/>
      <c r="E40" s="223"/>
      <c r="F40" s="223"/>
      <c r="G40" s="223"/>
      <c r="H40" s="223"/>
      <c r="I40" s="223"/>
      <c r="J40" s="223"/>
      <c r="K40" s="223"/>
      <c r="L40" s="223"/>
      <c r="M40" s="223"/>
      <c r="N40" s="223"/>
      <c r="O40" s="223"/>
      <c r="P40" s="223"/>
      <c r="R40" s="200"/>
    </row>
    <row r="41" spans="1:18" ht="15" hidden="1">
      <c r="A41" s="223"/>
      <c r="B41" s="229" t="s">
        <v>1</v>
      </c>
      <c r="C41" s="223"/>
      <c r="D41" s="223"/>
      <c r="E41" s="223"/>
      <c r="F41" s="223"/>
      <c r="G41" s="223"/>
      <c r="H41" s="223"/>
      <c r="I41" s="223"/>
      <c r="J41" s="223"/>
      <c r="K41" s="223"/>
      <c r="L41" s="223"/>
      <c r="M41" s="223"/>
      <c r="N41" s="223"/>
      <c r="O41" s="223"/>
      <c r="P41" s="223"/>
      <c r="R41" s="200"/>
    </row>
    <row r="42" spans="1:18" ht="15">
      <c r="A42" s="223"/>
      <c r="B42" s="223"/>
      <c r="C42" s="223"/>
      <c r="D42" s="223"/>
      <c r="E42" s="223"/>
      <c r="F42" s="223"/>
      <c r="G42" s="223"/>
      <c r="H42" s="223"/>
      <c r="I42" s="223"/>
      <c r="J42" s="223"/>
      <c r="K42" s="223"/>
      <c r="L42" s="223"/>
      <c r="M42" s="223"/>
      <c r="N42" s="223"/>
      <c r="O42" s="223"/>
      <c r="P42" s="223"/>
      <c r="R42" s="200"/>
    </row>
    <row r="43" spans="1:18" ht="15">
      <c r="A43" s="223"/>
      <c r="B43" s="225"/>
      <c r="C43" s="223"/>
      <c r="D43" s="223"/>
      <c r="E43" s="223"/>
      <c r="F43" s="223"/>
      <c r="G43" s="223"/>
      <c r="H43" s="223"/>
      <c r="I43" s="223"/>
      <c r="J43" s="223"/>
      <c r="K43" s="223"/>
      <c r="L43" s="223"/>
      <c r="M43" s="223"/>
      <c r="N43" s="223"/>
      <c r="O43" s="223"/>
      <c r="P43" s="223"/>
      <c r="R43" s="200"/>
    </row>
    <row r="44" spans="1:18" ht="15">
      <c r="A44" s="223"/>
      <c r="B44" s="231"/>
      <c r="C44" s="223"/>
      <c r="D44" s="223"/>
      <c r="E44" s="223"/>
      <c r="F44" s="223"/>
      <c r="G44" s="223"/>
      <c r="H44" s="223"/>
      <c r="I44" s="223"/>
      <c r="J44" s="223"/>
      <c r="K44" s="223"/>
      <c r="L44" s="223"/>
      <c r="M44" s="223"/>
      <c r="N44" s="223"/>
      <c r="O44" s="223"/>
      <c r="P44" s="223"/>
      <c r="R44" s="200"/>
    </row>
    <row r="45" spans="1:18" ht="15">
      <c r="A45" s="223"/>
      <c r="B45" s="223"/>
      <c r="C45" s="223"/>
      <c r="D45" s="223"/>
      <c r="E45" s="223"/>
      <c r="F45" s="223"/>
      <c r="G45" s="223"/>
      <c r="H45" s="223"/>
      <c r="I45" s="223"/>
      <c r="J45" s="223"/>
      <c r="K45" s="223"/>
      <c r="L45" s="223"/>
      <c r="M45" s="223"/>
      <c r="N45" s="223"/>
      <c r="O45" s="223"/>
      <c r="P45" s="223"/>
      <c r="R45" s="200"/>
    </row>
    <row r="46" spans="1:18" ht="15">
      <c r="A46" s="223"/>
      <c r="B46" s="229"/>
      <c r="C46" s="223"/>
      <c r="D46" s="223"/>
      <c r="E46" s="223"/>
      <c r="F46" s="223"/>
      <c r="G46" s="223"/>
      <c r="H46" s="223"/>
      <c r="I46" s="223"/>
      <c r="J46" s="223"/>
      <c r="K46" s="223"/>
      <c r="L46" s="223"/>
      <c r="M46" s="223"/>
      <c r="N46" s="223"/>
      <c r="O46" s="223"/>
      <c r="P46" s="223"/>
      <c r="R46" s="200"/>
    </row>
  </sheetData>
  <sheetProtection password="CEB8" sheet="1" selectLockedCells="1" selectUnlockedCells="1"/>
  <mergeCells count="5">
    <mergeCell ref="B9:O9"/>
    <mergeCell ref="B8:O8"/>
    <mergeCell ref="B3:O3"/>
    <mergeCell ref="B4:O4"/>
    <mergeCell ref="B5:O5"/>
  </mergeCells>
  <conditionalFormatting sqref="R8">
    <cfRule type="expression" priority="1" dxfId="5" stopIfTrue="1">
      <formula>$AA$3=1</formula>
    </cfRule>
  </conditionalFormatting>
  <conditionalFormatting sqref="R9">
    <cfRule type="expression" priority="2" dxfId="5" stopIfTrue="1">
      <formula>$AA$3=2</formula>
    </cfRule>
  </conditionalFormatting>
  <conditionalFormatting sqref="R10">
    <cfRule type="expression" priority="3" dxfId="5" stopIfTrue="1">
      <formula>$AA$3=3</formula>
    </cfRule>
  </conditionalFormatting>
  <printOptions horizontalCentered="1" verticalCentered="1"/>
  <pageMargins left="0.7" right="0.7" top="0.75" bottom="0.75" header="0.3" footer="0.3"/>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codeName="Sheet5">
    <tabColor rgb="FFFFC000"/>
    <pageSetUpPr fitToPage="1"/>
  </sheetPr>
  <dimension ref="A1:AA50"/>
  <sheetViews>
    <sheetView zoomScale="70" zoomScaleNormal="70" zoomScalePageLayoutView="0" workbookViewId="0" topLeftCell="A1">
      <selection activeCell="AC9" sqref="AC9"/>
    </sheetView>
  </sheetViews>
  <sheetFormatPr defaultColWidth="9.140625" defaultRowHeight="12.75"/>
  <cols>
    <col min="1" max="1" width="6.7109375" style="200" customWidth="1"/>
    <col min="2" max="2" width="2.28125" style="200" customWidth="1"/>
    <col min="3" max="4" width="14.8515625" style="200" customWidth="1"/>
    <col min="5" max="5" width="10.57421875" style="200" bestFit="1" customWidth="1"/>
    <col min="6" max="6" width="9.140625" style="200" customWidth="1"/>
    <col min="7" max="7" width="16.8515625" style="200" customWidth="1"/>
    <col min="8" max="8" width="9.8515625" style="200" bestFit="1" customWidth="1"/>
    <col min="9" max="9" width="10.28125" style="200" customWidth="1"/>
    <col min="10" max="13" width="9.140625" style="200" customWidth="1"/>
    <col min="14" max="14" width="14.8515625" style="200" hidden="1" customWidth="1"/>
    <col min="15" max="15" width="14.8515625" style="200" customWidth="1"/>
    <col min="16" max="16" width="6.7109375" style="200" customWidth="1"/>
    <col min="17" max="17" width="4.7109375" style="200" customWidth="1"/>
    <col min="18" max="18" width="21.57421875" style="200" customWidth="1"/>
    <col min="19" max="19" width="9.140625" style="200" customWidth="1"/>
    <col min="20" max="20" width="14.421875" style="200" hidden="1" customWidth="1"/>
    <col min="21" max="27" width="9.140625" style="200" hidden="1" customWidth="1"/>
    <col min="28" max="16384" width="9.140625" style="200" customWidth="1"/>
  </cols>
  <sheetData>
    <row r="1" spans="1:16" ht="15.75" customHeight="1">
      <c r="A1" s="198"/>
      <c r="B1" s="198"/>
      <c r="C1" s="198"/>
      <c r="D1" s="198"/>
      <c r="E1" s="198"/>
      <c r="F1" s="198"/>
      <c r="G1" s="198"/>
      <c r="H1" s="198"/>
      <c r="I1" s="198"/>
      <c r="J1" s="198"/>
      <c r="K1" s="198"/>
      <c r="L1" s="198"/>
      <c r="M1" s="198"/>
      <c r="N1" s="198"/>
      <c r="O1" s="198"/>
      <c r="P1" s="198"/>
    </row>
    <row r="2" spans="1:16" ht="141" customHeight="1">
      <c r="A2" s="198"/>
      <c r="B2" s="198"/>
      <c r="C2" s="313"/>
      <c r="D2" s="313"/>
      <c r="E2" s="313"/>
      <c r="F2" s="314"/>
      <c r="G2" s="314"/>
      <c r="H2" s="314"/>
      <c r="I2" s="314"/>
      <c r="J2" s="314"/>
      <c r="K2" s="314"/>
      <c r="L2" s="314"/>
      <c r="M2" s="314"/>
      <c r="N2" s="314"/>
      <c r="O2" s="314"/>
      <c r="P2" s="122"/>
    </row>
    <row r="3" spans="1:27" ht="166.5" customHeight="1">
      <c r="A3" s="198"/>
      <c r="B3" s="198"/>
      <c r="C3" s="313"/>
      <c r="D3" s="313"/>
      <c r="E3" s="313"/>
      <c r="F3" s="314"/>
      <c r="G3" s="314"/>
      <c r="H3" s="314"/>
      <c r="I3" s="314"/>
      <c r="J3" s="314"/>
      <c r="K3" s="314"/>
      <c r="L3" s="314"/>
      <c r="M3" s="314"/>
      <c r="N3" s="314"/>
      <c r="O3" s="314"/>
      <c r="P3" s="122"/>
      <c r="AA3" s="315">
        <v>1</v>
      </c>
    </row>
    <row r="4" spans="1:16" ht="103.5" customHeight="1">
      <c r="A4" s="122"/>
      <c r="B4" s="335">
        <f>E25</f>
        <v>1254.0500000000002</v>
      </c>
      <c r="C4" s="335"/>
      <c r="D4" s="335"/>
      <c r="E4" s="335"/>
      <c r="F4" s="335"/>
      <c r="G4" s="335"/>
      <c r="H4" s="335"/>
      <c r="I4" s="335"/>
      <c r="J4" s="335"/>
      <c r="K4" s="335"/>
      <c r="L4" s="335"/>
      <c r="M4" s="335"/>
      <c r="N4" s="335"/>
      <c r="O4" s="335"/>
      <c r="P4" s="122"/>
    </row>
    <row r="5" spans="1:16" ht="103.5" customHeight="1">
      <c r="A5" s="122"/>
      <c r="B5" s="336" t="str">
        <f>IF(AA3=2," al mese"," al mese*")</f>
        <v> al mese*</v>
      </c>
      <c r="C5" s="336"/>
      <c r="D5" s="336"/>
      <c r="E5" s="336"/>
      <c r="F5" s="336"/>
      <c r="G5" s="336"/>
      <c r="H5" s="336"/>
      <c r="I5" s="336"/>
      <c r="J5" s="336"/>
      <c r="K5" s="336"/>
      <c r="L5" s="336"/>
      <c r="M5" s="336"/>
      <c r="N5" s="336"/>
      <c r="O5" s="336"/>
      <c r="P5" s="122"/>
    </row>
    <row r="6" spans="1:18" ht="47.25">
      <c r="A6" s="122"/>
      <c r="B6" s="337" t="s">
        <v>54</v>
      </c>
      <c r="C6" s="337"/>
      <c r="D6" s="337"/>
      <c r="E6" s="337"/>
      <c r="F6" s="337"/>
      <c r="G6" s="337"/>
      <c r="H6" s="337"/>
      <c r="I6" s="337"/>
      <c r="J6" s="337"/>
      <c r="K6" s="337"/>
      <c r="L6" s="337"/>
      <c r="M6" s="337"/>
      <c r="N6" s="337"/>
      <c r="O6" s="337"/>
      <c r="P6" s="122"/>
      <c r="R6" s="315"/>
    </row>
    <row r="7" spans="1:18" ht="91.5" customHeight="1">
      <c r="A7" s="122"/>
      <c r="B7" s="316"/>
      <c r="C7" s="316"/>
      <c r="D7" s="316"/>
      <c r="E7" s="316"/>
      <c r="F7" s="316"/>
      <c r="G7" s="316"/>
      <c r="H7" s="316"/>
      <c r="I7" s="316"/>
      <c r="J7" s="316"/>
      <c r="K7" s="316"/>
      <c r="L7" s="316"/>
      <c r="M7" s="316"/>
      <c r="N7" s="316"/>
      <c r="O7" s="316"/>
      <c r="P7" s="122"/>
      <c r="R7" s="317"/>
    </row>
    <row r="8" spans="1:16" ht="24.75" customHeight="1">
      <c r="A8" s="122"/>
      <c r="B8" s="122"/>
      <c r="C8" s="122"/>
      <c r="D8" s="122"/>
      <c r="E8" s="122"/>
      <c r="F8" s="122"/>
      <c r="G8" s="122"/>
      <c r="H8" s="122"/>
      <c r="I8" s="122"/>
      <c r="J8" s="122"/>
      <c r="K8" s="122"/>
      <c r="L8" s="122"/>
      <c r="M8" s="122"/>
      <c r="N8" s="122"/>
      <c r="O8" s="122"/>
      <c r="P8" s="122"/>
    </row>
    <row r="9" spans="1:18" ht="11.25" customHeight="1">
      <c r="A9" s="122"/>
      <c r="B9" s="122"/>
      <c r="C9" s="122"/>
      <c r="D9" s="122"/>
      <c r="E9" s="122"/>
      <c r="F9" s="122"/>
      <c r="G9" s="122"/>
      <c r="H9" s="122"/>
      <c r="I9" s="122"/>
      <c r="J9" s="122"/>
      <c r="K9" s="122"/>
      <c r="L9" s="122"/>
      <c r="M9" s="122"/>
      <c r="N9" s="122"/>
      <c r="O9" s="122"/>
      <c r="P9" s="122"/>
      <c r="R9" s="318"/>
    </row>
    <row r="10" spans="1:18" ht="33" customHeight="1">
      <c r="A10" s="122"/>
      <c r="B10" s="338" t="str">
        <f>Cartello!B8</f>
        <v>Siamo a sua completa disposizione</v>
      </c>
      <c r="C10" s="338"/>
      <c r="D10" s="338"/>
      <c r="E10" s="338"/>
      <c r="F10" s="338"/>
      <c r="G10" s="338"/>
      <c r="H10" s="338"/>
      <c r="I10" s="338"/>
      <c r="J10" s="338"/>
      <c r="K10" s="338"/>
      <c r="L10" s="338"/>
      <c r="M10" s="338"/>
      <c r="N10" s="338"/>
      <c r="O10" s="338"/>
      <c r="P10" s="122"/>
      <c r="R10" s="319" t="s">
        <v>0</v>
      </c>
    </row>
    <row r="11" spans="1:18" ht="33" customHeight="1">
      <c r="A11" s="122"/>
      <c r="B11" s="338" t="str">
        <f>Cartello!B9</f>
        <v>per qualsiasi soluzione di finanziamento.</v>
      </c>
      <c r="C11" s="338"/>
      <c r="D11" s="338"/>
      <c r="E11" s="338"/>
      <c r="F11" s="338"/>
      <c r="G11" s="338"/>
      <c r="H11" s="338"/>
      <c r="I11" s="338"/>
      <c r="J11" s="338"/>
      <c r="K11" s="338"/>
      <c r="L11" s="338"/>
      <c r="M11" s="338"/>
      <c r="N11" s="338"/>
      <c r="O11" s="338"/>
      <c r="P11" s="122"/>
      <c r="R11" s="320" t="s">
        <v>63</v>
      </c>
    </row>
    <row r="12" spans="1:18" ht="33" customHeight="1">
      <c r="A12" s="122"/>
      <c r="B12" s="122"/>
      <c r="C12" s="122"/>
      <c r="D12" s="122"/>
      <c r="E12" s="122"/>
      <c r="F12" s="122"/>
      <c r="G12" s="122"/>
      <c r="H12" s="122"/>
      <c r="I12" s="122"/>
      <c r="J12" s="122"/>
      <c r="K12" s="122"/>
      <c r="L12" s="122"/>
      <c r="M12" s="122"/>
      <c r="N12" s="122"/>
      <c r="O12" s="122"/>
      <c r="P12" s="122"/>
      <c r="R12" s="318"/>
    </row>
    <row r="13" spans="1:16" ht="16.5" customHeight="1">
      <c r="A13" s="122"/>
      <c r="B13" s="122"/>
      <c r="C13" s="208"/>
      <c r="D13" s="208"/>
      <c r="E13" s="208"/>
      <c r="F13" s="208"/>
      <c r="G13" s="208"/>
      <c r="H13" s="208"/>
      <c r="I13" s="208"/>
      <c r="J13" s="208"/>
      <c r="K13" s="208"/>
      <c r="L13" s="208"/>
      <c r="M13" s="208"/>
      <c r="N13" s="208"/>
      <c r="O13" s="208"/>
      <c r="P13" s="122"/>
    </row>
    <row r="14" spans="1:16" ht="12.75" customHeight="1">
      <c r="A14" s="122"/>
      <c r="B14" s="208"/>
      <c r="C14" s="208"/>
      <c r="D14" s="208"/>
      <c r="E14" s="208"/>
      <c r="F14" s="208"/>
      <c r="G14" s="208"/>
      <c r="H14" s="208"/>
      <c r="I14" s="208"/>
      <c r="J14" s="208"/>
      <c r="K14" s="208"/>
      <c r="L14" s="208"/>
      <c r="M14" s="208"/>
      <c r="N14" s="208"/>
      <c r="O14" s="208"/>
      <c r="P14" s="122"/>
    </row>
    <row r="15" spans="1:16" ht="24.75" customHeight="1">
      <c r="A15" s="122"/>
      <c r="B15" s="339" t="str">
        <f>IF(AA3=1,B34,IF(AA3=2,B41,B48))</f>
        <v>Questo calcolo di Leasing si basa su un prezzo di acquisto di CHF 50000*  con un valore di riscatto di CHF 1000*, una durata di 48 mesi</v>
      </c>
      <c r="C15" s="339"/>
      <c r="D15" s="339"/>
      <c r="E15" s="339"/>
      <c r="F15" s="339"/>
      <c r="G15" s="339"/>
      <c r="H15" s="339"/>
      <c r="I15" s="339"/>
      <c r="J15" s="339"/>
      <c r="K15" s="339"/>
      <c r="L15" s="339"/>
      <c r="M15" s="339"/>
      <c r="N15" s="339"/>
      <c r="O15" s="339"/>
      <c r="P15" s="122"/>
    </row>
    <row r="16" spans="1:16" ht="13.5">
      <c r="A16" s="122"/>
      <c r="B16" s="222" t="str">
        <f>IF(AA3=1,B35,IF(AA3=2,B42,B49))</f>
        <v>Il tasso effettivo di 7.75% rappresenta un costo annuo di CHF 1951 (escluso deprezzamento e assicurazione del veicolo)</v>
      </c>
      <c r="C16" s="122"/>
      <c r="D16" s="122"/>
      <c r="E16" s="122"/>
      <c r="F16" s="122"/>
      <c r="G16" s="122"/>
      <c r="H16" s="122"/>
      <c r="I16" s="122"/>
      <c r="J16" s="122"/>
      <c r="K16" s="122"/>
      <c r="L16" s="122"/>
      <c r="M16" s="122"/>
      <c r="N16" s="122"/>
      <c r="O16" s="122"/>
      <c r="P16" s="122"/>
    </row>
    <row r="17" spans="1:16" ht="13.5">
      <c r="A17" s="122"/>
      <c r="B17" s="222" t="str">
        <f>IF(AA3=1,B36,IF(AA3=2,B43,B50))</f>
        <v>La concessione del credito è vietata se causa un sovraindebitamento del consumatore (conformemente alle disposizioni dell'art 3 LCSI). </v>
      </c>
      <c r="C17" s="122"/>
      <c r="D17" s="122"/>
      <c r="E17" s="122"/>
      <c r="F17" s="122"/>
      <c r="G17" s="122"/>
      <c r="H17" s="122"/>
      <c r="I17" s="122"/>
      <c r="J17" s="122"/>
      <c r="K17" s="122"/>
      <c r="L17" s="122"/>
      <c r="M17" s="122"/>
      <c r="N17" s="122"/>
      <c r="O17" s="122"/>
      <c r="P17" s="122"/>
    </row>
    <row r="18" spans="1:16" ht="13.5">
      <c r="A18" s="122"/>
      <c r="B18" s="122"/>
      <c r="C18" s="122"/>
      <c r="D18" s="122"/>
      <c r="E18" s="122"/>
      <c r="F18" s="122"/>
      <c r="G18" s="122"/>
      <c r="H18" s="122"/>
      <c r="I18" s="122"/>
      <c r="J18" s="122"/>
      <c r="K18" s="122"/>
      <c r="L18" s="122"/>
      <c r="M18" s="122"/>
      <c r="N18" s="122"/>
      <c r="O18" s="122"/>
      <c r="P18" s="122"/>
    </row>
    <row r="19" spans="1:16" ht="13.5">
      <c r="A19" s="122"/>
      <c r="B19" s="222"/>
      <c r="C19" s="122"/>
      <c r="D19" s="122"/>
      <c r="E19" s="122"/>
      <c r="F19" s="122"/>
      <c r="G19" s="122"/>
      <c r="H19" s="122"/>
      <c r="I19" s="122"/>
      <c r="J19" s="122"/>
      <c r="K19" s="122"/>
      <c r="L19" s="122"/>
      <c r="M19" s="122"/>
      <c r="N19" s="122"/>
      <c r="O19" s="211" t="str">
        <f>IF(AA3=2," ","*incl. 8.1% IVA")</f>
        <v>*incl. 8.1% IVA</v>
      </c>
      <c r="P19" s="122"/>
    </row>
    <row r="20" spans="1:16" ht="42" customHeight="1">
      <c r="A20" s="122"/>
      <c r="B20" s="208"/>
      <c r="C20" s="122"/>
      <c r="D20" s="122"/>
      <c r="E20" s="122"/>
      <c r="F20" s="122"/>
      <c r="G20" s="122"/>
      <c r="H20" s="122"/>
      <c r="I20" s="122"/>
      <c r="J20" s="122"/>
      <c r="K20" s="122"/>
      <c r="L20" s="122"/>
      <c r="M20" s="122"/>
      <c r="N20" s="122"/>
      <c r="O20" s="211"/>
      <c r="P20" s="122"/>
    </row>
    <row r="21" spans="1:16" ht="15">
      <c r="A21" s="223"/>
      <c r="B21" s="223"/>
      <c r="C21" s="223"/>
      <c r="D21" s="223"/>
      <c r="E21" s="223"/>
      <c r="F21" s="223"/>
      <c r="G21" s="223"/>
      <c r="H21" s="223"/>
      <c r="I21" s="223"/>
      <c r="J21" s="223"/>
      <c r="K21" s="223"/>
      <c r="L21" s="223"/>
      <c r="M21" s="223"/>
      <c r="N21" s="223"/>
      <c r="O21" s="223"/>
      <c r="P21" s="223"/>
    </row>
    <row r="22" spans="1:16" ht="15">
      <c r="A22" s="223"/>
      <c r="B22" s="223"/>
      <c r="C22" s="223"/>
      <c r="D22" s="223"/>
      <c r="E22" s="223"/>
      <c r="F22" s="223"/>
      <c r="G22" s="223"/>
      <c r="H22" s="223"/>
      <c r="I22" s="223"/>
      <c r="J22" s="223"/>
      <c r="K22" s="223"/>
      <c r="L22" s="223"/>
      <c r="M22" s="223"/>
      <c r="N22" s="223"/>
      <c r="O22" s="223"/>
      <c r="P22" s="223"/>
    </row>
    <row r="23" spans="1:16" ht="15">
      <c r="A23" s="223"/>
      <c r="B23" s="223"/>
      <c r="C23" s="223"/>
      <c r="D23" s="223"/>
      <c r="E23" s="223"/>
      <c r="F23" s="223"/>
      <c r="G23" s="223"/>
      <c r="H23" s="223"/>
      <c r="I23" s="223"/>
      <c r="J23" s="223"/>
      <c r="K23" s="223"/>
      <c r="L23" s="223"/>
      <c r="M23" s="223"/>
      <c r="N23" s="223"/>
      <c r="O23" s="223"/>
      <c r="P23" s="223"/>
    </row>
    <row r="24" spans="1:16" ht="15" hidden="1">
      <c r="A24" s="223"/>
      <c r="B24" s="223"/>
      <c r="C24" s="223"/>
      <c r="D24" s="223"/>
      <c r="E24" s="223"/>
      <c r="F24" s="223"/>
      <c r="G24" s="223"/>
      <c r="H24" s="223"/>
      <c r="I24" s="223"/>
      <c r="J24" s="223"/>
      <c r="K24" s="223"/>
      <c r="L24" s="223"/>
      <c r="M24" s="223"/>
      <c r="N24" s="223"/>
      <c r="O24" s="223"/>
      <c r="P24" s="223"/>
    </row>
    <row r="25" spans="1:16" ht="15" hidden="1">
      <c r="A25" s="223"/>
      <c r="B25" s="223"/>
      <c r="C25" s="223" t="s">
        <v>7</v>
      </c>
      <c r="D25" s="223"/>
      <c r="E25" s="223">
        <f>IF(AA3=1,LEASING!$N$11,IF(AA3=2,FINANZIAMENTO!$O$11,))</f>
        <v>1254.0500000000002</v>
      </c>
      <c r="F25" s="223"/>
      <c r="G25" s="223"/>
      <c r="H25" s="223"/>
      <c r="I25" s="223"/>
      <c r="J25" s="223"/>
      <c r="K25" s="223"/>
      <c r="L25" s="223"/>
      <c r="M25" s="223"/>
      <c r="N25" s="223"/>
      <c r="O25" s="223"/>
      <c r="P25" s="223"/>
    </row>
    <row r="26" spans="1:16" ht="15" hidden="1">
      <c r="A26" s="223"/>
      <c r="B26" s="223"/>
      <c r="C26" s="223"/>
      <c r="D26" s="223"/>
      <c r="E26" s="223"/>
      <c r="F26" s="223"/>
      <c r="G26" s="223"/>
      <c r="H26" s="223"/>
      <c r="I26" s="223"/>
      <c r="J26" s="223"/>
      <c r="K26" s="223"/>
      <c r="L26" s="223"/>
      <c r="M26" s="223"/>
      <c r="N26" s="223"/>
      <c r="O26" s="223"/>
      <c r="P26" s="223"/>
    </row>
    <row r="27" spans="1:16" ht="15" hidden="1">
      <c r="A27" s="223"/>
      <c r="B27" s="223"/>
      <c r="C27" s="223" t="s">
        <v>55</v>
      </c>
      <c r="D27" s="223"/>
      <c r="E27" s="321">
        <f>Cartello!E24</f>
        <v>50000</v>
      </c>
      <c r="G27" s="223"/>
      <c r="H27" s="321"/>
      <c r="I27" s="321"/>
      <c r="J27" s="223"/>
      <c r="K27" s="223"/>
      <c r="L27" s="223"/>
      <c r="M27" s="223"/>
      <c r="N27" s="223"/>
      <c r="O27" s="223"/>
      <c r="P27" s="223"/>
    </row>
    <row r="28" spans="1:16" ht="15" hidden="1">
      <c r="A28" s="223"/>
      <c r="B28" s="223"/>
      <c r="C28" s="223" t="str">
        <f>IF(AA3=1,LEASING!$D$17,FINANZIAMENTO!$D$11)</f>
        <v>1° canone maggiorato</v>
      </c>
      <c r="D28" s="223"/>
      <c r="E28" s="223">
        <f>IF(AA3=1,LEASING!$H$17,IF(AA3=2,FINANZIAMENTO!$I$11,))</f>
        <v>0</v>
      </c>
      <c r="F28" s="223">
        <f>IF(AC6=1,"(inkl. 7.6% MWSt.)","")</f>
      </c>
      <c r="G28" s="223"/>
      <c r="H28" s="223"/>
      <c r="I28" s="223"/>
      <c r="J28" s="223"/>
      <c r="K28" s="223"/>
      <c r="L28" s="223"/>
      <c r="M28" s="223"/>
      <c r="N28" s="223"/>
      <c r="O28" s="223"/>
      <c r="P28" s="223"/>
    </row>
    <row r="29" spans="1:16" ht="15" hidden="1">
      <c r="A29" s="223"/>
      <c r="B29" s="223"/>
      <c r="C29" s="223" t="s">
        <v>51</v>
      </c>
      <c r="D29" s="223"/>
      <c r="E29" s="223">
        <f>IF(AA3=1,LEASING!$H$13,IF(AA3=2,FINANZIAMENTO!$I$15,))</f>
        <v>48</v>
      </c>
      <c r="F29" s="223"/>
      <c r="G29" s="223"/>
      <c r="H29" s="223"/>
      <c r="I29" s="223"/>
      <c r="J29" s="223"/>
      <c r="K29" s="223"/>
      <c r="L29" s="223"/>
      <c r="M29" s="223"/>
      <c r="N29" s="223"/>
      <c r="O29" s="223"/>
      <c r="P29" s="223"/>
    </row>
    <row r="30" spans="1:16" ht="15" hidden="1">
      <c r="A30" s="223"/>
      <c r="B30" s="223"/>
      <c r="C30" s="223"/>
      <c r="D30" s="223"/>
      <c r="E30" s="223"/>
      <c r="F30" s="223"/>
      <c r="G30" s="223"/>
      <c r="H30" s="223"/>
      <c r="I30" s="223"/>
      <c r="J30" s="223"/>
      <c r="K30" s="223"/>
      <c r="L30" s="223"/>
      <c r="M30" s="223"/>
      <c r="N30" s="223"/>
      <c r="O30" s="223"/>
      <c r="P30" s="223"/>
    </row>
    <row r="31" spans="1:16" ht="15" hidden="1">
      <c r="A31" s="223"/>
      <c r="B31" s="223"/>
      <c r="C31" s="223"/>
      <c r="D31" s="223"/>
      <c r="E31" s="223"/>
      <c r="F31" s="223"/>
      <c r="G31" s="223"/>
      <c r="H31" s="223"/>
      <c r="I31" s="223"/>
      <c r="J31" s="223"/>
      <c r="K31" s="223"/>
      <c r="L31" s="223"/>
      <c r="M31" s="223"/>
      <c r="N31" s="223"/>
      <c r="O31" s="223"/>
      <c r="P31" s="223"/>
    </row>
    <row r="32" spans="1:16" ht="15" hidden="1">
      <c r="A32" s="223"/>
      <c r="B32" s="223"/>
      <c r="C32" s="223"/>
      <c r="D32" s="223"/>
      <c r="E32" s="223"/>
      <c r="F32" s="223"/>
      <c r="G32" s="223"/>
      <c r="H32" s="223"/>
      <c r="I32" s="223"/>
      <c r="J32" s="223"/>
      <c r="K32" s="223"/>
      <c r="L32" s="223"/>
      <c r="M32" s="223"/>
      <c r="N32" s="223"/>
      <c r="O32" s="223"/>
      <c r="P32" s="223"/>
    </row>
    <row r="33" spans="1:16" ht="15" hidden="1">
      <c r="A33" s="223"/>
      <c r="B33" s="225" t="s">
        <v>0</v>
      </c>
      <c r="C33" s="223"/>
      <c r="D33" s="223"/>
      <c r="E33" s="223"/>
      <c r="F33" s="223"/>
      <c r="G33" s="223"/>
      <c r="H33" s="223"/>
      <c r="I33" s="223"/>
      <c r="J33" s="223"/>
      <c r="K33" s="223"/>
      <c r="L33" s="223"/>
      <c r="M33" s="223"/>
      <c r="N33" s="223"/>
      <c r="O33" s="223"/>
      <c r="P33" s="223"/>
    </row>
    <row r="34" spans="1:16" ht="15" hidden="1">
      <c r="A34" s="223"/>
      <c r="B34" s="322" t="str">
        <f>Cartello!B31</f>
        <v>Questo calcolo di Leasing si basa su un prezzo di acquisto di CHF 50000*  con un valore di riscatto di CHF 1000*, una durata di 48 mesi</v>
      </c>
      <c r="C34" s="227"/>
      <c r="D34" s="227"/>
      <c r="E34" s="227"/>
      <c r="F34" s="227"/>
      <c r="G34" s="227"/>
      <c r="H34" s="227"/>
      <c r="I34" s="227"/>
      <c r="J34" s="227"/>
      <c r="K34" s="223"/>
      <c r="L34" s="223"/>
      <c r="M34" s="223"/>
      <c r="N34" s="223"/>
      <c r="O34" s="223"/>
      <c r="P34" s="223"/>
    </row>
    <row r="35" spans="1:16" ht="15" hidden="1">
      <c r="A35" s="223"/>
      <c r="B35" s="323" t="str">
        <f>Cartello!B32</f>
        <v>Il tasso effettivo di 7.75% rappresenta un costo annuo di CHF 1951 (escluso deprezzamento e assicurazione del veicolo)</v>
      </c>
      <c r="C35" s="223"/>
      <c r="D35" s="223"/>
      <c r="E35" s="223"/>
      <c r="F35" s="223"/>
      <c r="G35" s="223"/>
      <c r="H35" s="223"/>
      <c r="I35" s="223"/>
      <c r="J35" s="223"/>
      <c r="K35" s="223"/>
      <c r="L35" s="223"/>
      <c r="M35" s="223"/>
      <c r="N35" s="223"/>
      <c r="O35" s="223"/>
      <c r="P35" s="223"/>
    </row>
    <row r="36" spans="1:16" ht="15" hidden="1">
      <c r="A36" s="223"/>
      <c r="B36" s="324" t="str">
        <f>Cartello!B33</f>
        <v>La concessione del credito è vietata se causa un sovraindebitamento del consumatore (conformemente alle disposizioni dell'art 3 LCSI). </v>
      </c>
      <c r="C36" s="223"/>
      <c r="D36" s="223"/>
      <c r="E36" s="223"/>
      <c r="F36" s="223"/>
      <c r="G36" s="223"/>
      <c r="H36" s="223"/>
      <c r="I36" s="223"/>
      <c r="J36" s="223"/>
      <c r="K36" s="223"/>
      <c r="L36" s="223"/>
      <c r="M36" s="223"/>
      <c r="N36" s="223"/>
      <c r="O36" s="223"/>
      <c r="P36" s="223"/>
    </row>
    <row r="37" spans="1:16" ht="15" hidden="1">
      <c r="A37" s="223"/>
      <c r="B37" s="324" t="s">
        <v>1</v>
      </c>
      <c r="C37" s="223"/>
      <c r="D37" s="223"/>
      <c r="E37" s="223"/>
      <c r="F37" s="223"/>
      <c r="G37" s="223"/>
      <c r="H37" s="223"/>
      <c r="I37" s="223"/>
      <c r="J37" s="223"/>
      <c r="K37" s="223"/>
      <c r="L37" s="223"/>
      <c r="M37" s="223"/>
      <c r="N37" s="223"/>
      <c r="O37" s="223"/>
      <c r="P37" s="223"/>
    </row>
    <row r="38" spans="1:16" ht="15" hidden="1">
      <c r="A38" s="223"/>
      <c r="B38" s="325" t="s">
        <v>125</v>
      </c>
      <c r="C38" s="227"/>
      <c r="D38" s="227"/>
      <c r="E38" s="223"/>
      <c r="F38" s="223"/>
      <c r="G38" s="223"/>
      <c r="H38" s="223"/>
      <c r="I38" s="223"/>
      <c r="J38" s="223"/>
      <c r="K38" s="223"/>
      <c r="L38" s="223"/>
      <c r="M38" s="223"/>
      <c r="N38" s="223"/>
      <c r="O38" s="223"/>
      <c r="P38" s="223"/>
    </row>
    <row r="39" spans="1:16" ht="15" hidden="1">
      <c r="A39" s="223"/>
      <c r="B39" s="223" t="s">
        <v>1</v>
      </c>
      <c r="C39" s="223"/>
      <c r="D39" s="223"/>
      <c r="E39" s="223"/>
      <c r="F39" s="223"/>
      <c r="G39" s="223"/>
      <c r="H39" s="223"/>
      <c r="I39" s="223"/>
      <c r="J39" s="223"/>
      <c r="K39" s="223"/>
      <c r="L39" s="223"/>
      <c r="M39" s="223"/>
      <c r="N39" s="223"/>
      <c r="O39" s="223"/>
      <c r="P39" s="223"/>
    </row>
    <row r="40" spans="1:16" ht="15" hidden="1">
      <c r="A40" s="223"/>
      <c r="B40" s="225" t="s">
        <v>124</v>
      </c>
      <c r="C40" s="223"/>
      <c r="D40" s="223"/>
      <c r="E40" s="223"/>
      <c r="F40" s="223"/>
      <c r="G40" s="223"/>
      <c r="H40" s="223"/>
      <c r="I40" s="223"/>
      <c r="J40" s="223"/>
      <c r="K40" s="223"/>
      <c r="L40" s="223"/>
      <c r="M40" s="223"/>
      <c r="N40" s="223"/>
      <c r="O40" s="223"/>
      <c r="P40" s="223"/>
    </row>
    <row r="41" spans="1:16" ht="15" hidden="1">
      <c r="A41" s="223"/>
      <c r="B41" s="324" t="str">
        <f>Cartello!B38</f>
        <v>Questo calcolo di Finanziamento si basa su un importo del credito di CHF 20000</v>
      </c>
      <c r="C41" s="223"/>
      <c r="D41" s="223"/>
      <c r="E41" s="223"/>
      <c r="F41" s="223"/>
      <c r="G41" s="223"/>
      <c r="H41" s="223"/>
      <c r="I41" s="223"/>
      <c r="J41" s="223"/>
      <c r="K41" s="223"/>
      <c r="L41" s="223"/>
      <c r="M41" s="223"/>
      <c r="N41" s="223"/>
      <c r="O41" s="223"/>
      <c r="P41" s="223"/>
    </row>
    <row r="42" spans="1:16" ht="15" hidden="1">
      <c r="A42" s="223"/>
      <c r="B42" s="324" t="str">
        <f>Cartello!B39</f>
        <v>Il tasso effettivo di 9.95% rappresenta un costo complessivo di CHF4130 con una durata di 48 mesi.</v>
      </c>
      <c r="C42" s="223"/>
      <c r="D42" s="223"/>
      <c r="E42" s="223"/>
      <c r="F42" s="223"/>
      <c r="G42" s="223"/>
      <c r="H42" s="223"/>
      <c r="I42" s="223"/>
      <c r="J42" s="223"/>
      <c r="K42" s="223"/>
      <c r="L42" s="223"/>
      <c r="M42" s="223"/>
      <c r="N42" s="223"/>
      <c r="O42" s="223"/>
      <c r="P42" s="223"/>
    </row>
    <row r="43" spans="1:16" ht="15" hidden="1">
      <c r="A43" s="223"/>
      <c r="B43" s="324" t="str">
        <f>Cartello!B40</f>
        <v>La concessione del credito è vietata se causa un sovraindebitamento del consumatore (conformemente alle disposizioni dell'art 3 LCSI). </v>
      </c>
      <c r="C43" s="223"/>
      <c r="D43" s="223"/>
      <c r="E43" s="223"/>
      <c r="F43" s="223"/>
      <c r="G43" s="223"/>
      <c r="H43" s="223"/>
      <c r="I43" s="223"/>
      <c r="J43" s="223"/>
      <c r="K43" s="223"/>
      <c r="L43" s="223"/>
      <c r="M43" s="223"/>
      <c r="N43" s="223"/>
      <c r="O43" s="223"/>
      <c r="P43" s="223"/>
    </row>
    <row r="44" spans="1:16" ht="15" hidden="1">
      <c r="A44" s="223"/>
      <c r="B44" s="324" t="s">
        <v>1</v>
      </c>
      <c r="C44" s="223"/>
      <c r="D44" s="223"/>
      <c r="E44" s="223"/>
      <c r="F44" s="223"/>
      <c r="G44" s="223"/>
      <c r="H44" s="223"/>
      <c r="I44" s="223"/>
      <c r="J44" s="223"/>
      <c r="K44" s="223"/>
      <c r="L44" s="223"/>
      <c r="M44" s="223"/>
      <c r="N44" s="223"/>
      <c r="O44" s="223"/>
      <c r="P44" s="223"/>
    </row>
    <row r="45" spans="1:16" ht="15">
      <c r="A45" s="223"/>
      <c r="B45" s="223"/>
      <c r="C45" s="223"/>
      <c r="D45" s="223"/>
      <c r="E45" s="223"/>
      <c r="F45" s="223"/>
      <c r="G45" s="223"/>
      <c r="H45" s="223"/>
      <c r="I45" s="223"/>
      <c r="J45" s="223"/>
      <c r="K45" s="223"/>
      <c r="L45" s="223"/>
      <c r="M45" s="223"/>
      <c r="N45" s="223"/>
      <c r="O45" s="223"/>
      <c r="P45" s="223"/>
    </row>
    <row r="46" spans="1:16" ht="15">
      <c r="A46" s="223"/>
      <c r="B46" s="223"/>
      <c r="C46" s="223"/>
      <c r="D46" s="223"/>
      <c r="E46" s="223"/>
      <c r="F46" s="223"/>
      <c r="G46" s="223"/>
      <c r="H46" s="223"/>
      <c r="I46" s="223"/>
      <c r="J46" s="223"/>
      <c r="K46" s="223"/>
      <c r="L46" s="223"/>
      <c r="M46" s="223"/>
      <c r="N46" s="223"/>
      <c r="O46" s="223"/>
      <c r="P46" s="223"/>
    </row>
    <row r="47" spans="1:16" ht="15">
      <c r="A47" s="223"/>
      <c r="B47" s="225"/>
      <c r="C47" s="223"/>
      <c r="D47" s="223"/>
      <c r="E47" s="223"/>
      <c r="F47" s="223"/>
      <c r="G47" s="223"/>
      <c r="H47" s="223"/>
      <c r="I47" s="223"/>
      <c r="J47" s="223"/>
      <c r="K47" s="223"/>
      <c r="L47" s="223"/>
      <c r="M47" s="223"/>
      <c r="N47" s="223"/>
      <c r="O47" s="223"/>
      <c r="P47" s="223"/>
    </row>
    <row r="48" spans="1:16" ht="15">
      <c r="A48" s="223"/>
      <c r="B48" s="324"/>
      <c r="C48" s="223"/>
      <c r="D48" s="223"/>
      <c r="E48" s="223"/>
      <c r="F48" s="223"/>
      <c r="G48" s="223"/>
      <c r="H48" s="223"/>
      <c r="I48" s="223"/>
      <c r="J48" s="223"/>
      <c r="K48" s="223"/>
      <c r="L48" s="223"/>
      <c r="M48" s="223"/>
      <c r="N48" s="223"/>
      <c r="O48" s="223"/>
      <c r="P48" s="223"/>
    </row>
    <row r="49" spans="1:16" ht="15">
      <c r="A49" s="223"/>
      <c r="B49" s="223"/>
      <c r="C49" s="223"/>
      <c r="D49" s="223"/>
      <c r="E49" s="223"/>
      <c r="F49" s="223"/>
      <c r="G49" s="223"/>
      <c r="H49" s="223"/>
      <c r="I49" s="223"/>
      <c r="J49" s="223"/>
      <c r="K49" s="223"/>
      <c r="L49" s="223"/>
      <c r="M49" s="223"/>
      <c r="N49" s="223"/>
      <c r="O49" s="223"/>
      <c r="P49" s="223"/>
    </row>
    <row r="50" spans="1:16" ht="15">
      <c r="A50" s="223"/>
      <c r="B50" s="324"/>
      <c r="C50" s="223"/>
      <c r="D50" s="223"/>
      <c r="E50" s="223"/>
      <c r="F50" s="223"/>
      <c r="G50" s="223"/>
      <c r="H50" s="223"/>
      <c r="I50" s="223"/>
      <c r="J50" s="223"/>
      <c r="K50" s="223"/>
      <c r="L50" s="223"/>
      <c r="M50" s="223"/>
      <c r="N50" s="223"/>
      <c r="O50" s="223"/>
      <c r="P50" s="223"/>
    </row>
  </sheetData>
  <sheetProtection password="CEB8" sheet="1" selectLockedCells="1" selectUnlockedCells="1"/>
  <mergeCells count="6">
    <mergeCell ref="B4:O4"/>
    <mergeCell ref="B5:O5"/>
    <mergeCell ref="B6:O6"/>
    <mergeCell ref="B10:O10"/>
    <mergeCell ref="B11:O11"/>
    <mergeCell ref="B15:O15"/>
  </mergeCells>
  <conditionalFormatting sqref="R11">
    <cfRule type="expression" priority="2" dxfId="5" stopIfTrue="1">
      <formula>$AA$3=2</formula>
    </cfRule>
  </conditionalFormatting>
  <conditionalFormatting sqref="R12">
    <cfRule type="expression" priority="3" dxfId="5" stopIfTrue="1">
      <formula>'Cartello verticale'!#REF!=3</formula>
    </cfRule>
  </conditionalFormatting>
  <conditionalFormatting sqref="R10">
    <cfRule type="expression" priority="1" dxfId="5" stopIfTrue="1">
      <formula>$AA$3=1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66" r:id="rId2"/>
  <legacyDrawing r:id="rId1"/>
</worksheet>
</file>

<file path=xl/worksheets/sheet6.xml><?xml version="1.0" encoding="utf-8"?>
<worksheet xmlns="http://schemas.openxmlformats.org/spreadsheetml/2006/main" xmlns:r="http://schemas.openxmlformats.org/officeDocument/2006/relationships">
  <sheetPr codeName="Sheet1"/>
  <dimension ref="A1:O64"/>
  <sheetViews>
    <sheetView zoomScalePageLayoutView="0" workbookViewId="0" topLeftCell="A1">
      <selection activeCell="B17" sqref="B17"/>
    </sheetView>
  </sheetViews>
  <sheetFormatPr defaultColWidth="11.421875" defaultRowHeight="12.75"/>
  <cols>
    <col min="1" max="1" width="30.421875" style="269" bestFit="1" customWidth="1"/>
    <col min="2" max="2" width="11.421875" style="269" customWidth="1"/>
    <col min="3" max="3" width="9.8515625" style="269" bestFit="1" customWidth="1"/>
    <col min="4" max="4" width="6.140625" style="269" bestFit="1" customWidth="1"/>
    <col min="5" max="5" width="8.421875" style="269" bestFit="1" customWidth="1"/>
    <col min="6" max="6" width="11.28125" style="269" bestFit="1" customWidth="1"/>
    <col min="7" max="7" width="8.8515625" style="269" bestFit="1" customWidth="1"/>
    <col min="8" max="8" width="9.421875" style="269" bestFit="1" customWidth="1"/>
    <col min="9" max="9" width="11.57421875" style="269" bestFit="1" customWidth="1"/>
    <col min="10" max="10" width="8.8515625" style="269" bestFit="1" customWidth="1"/>
    <col min="11" max="11" width="4.28125" style="269" customWidth="1"/>
    <col min="12" max="12" width="9.421875" style="269" bestFit="1" customWidth="1"/>
    <col min="13" max="13" width="11.28125" style="269" bestFit="1" customWidth="1"/>
    <col min="14" max="14" width="7.421875" style="269" bestFit="1" customWidth="1"/>
    <col min="15" max="15" width="8.421875" style="269" bestFit="1" customWidth="1"/>
    <col min="16" max="16384" width="11.421875" style="269" customWidth="1"/>
  </cols>
  <sheetData>
    <row r="1" spans="1:14" ht="14.25">
      <c r="A1" s="267" t="s">
        <v>82</v>
      </c>
      <c r="B1" s="268"/>
      <c r="C1" s="268"/>
      <c r="D1" s="268"/>
      <c r="E1" s="268"/>
      <c r="F1" s="268"/>
      <c r="G1" s="268"/>
      <c r="H1" s="268"/>
      <c r="I1" s="268"/>
      <c r="J1" s="268"/>
      <c r="K1" s="268"/>
      <c r="L1" s="268"/>
      <c r="M1" s="268"/>
      <c r="N1" s="268"/>
    </row>
    <row r="2" spans="1:15" ht="14.25" customHeight="1">
      <c r="A2" s="268"/>
      <c r="B2" s="268"/>
      <c r="C2" s="268"/>
      <c r="D2" s="268"/>
      <c r="E2" s="268"/>
      <c r="F2" s="268"/>
      <c r="G2" s="268"/>
      <c r="H2" s="268"/>
      <c r="I2" s="268"/>
      <c r="J2" s="268"/>
      <c r="K2" s="268"/>
      <c r="L2" s="340" t="s">
        <v>83</v>
      </c>
      <c r="M2" s="341"/>
      <c r="N2" s="341"/>
      <c r="O2" s="341"/>
    </row>
    <row r="3" spans="1:15" ht="14.25" customHeight="1">
      <c r="A3" s="268" t="s">
        <v>84</v>
      </c>
      <c r="B3" s="270">
        <f>LEASING!H9</f>
        <v>50000</v>
      </c>
      <c r="C3" s="268"/>
      <c r="D3" s="271" t="s">
        <v>85</v>
      </c>
      <c r="E3" s="271" t="s">
        <v>86</v>
      </c>
      <c r="F3" s="271" t="s">
        <v>87</v>
      </c>
      <c r="G3" s="271" t="s">
        <v>88</v>
      </c>
      <c r="H3" s="271" t="s">
        <v>89</v>
      </c>
      <c r="I3" s="271" t="s">
        <v>90</v>
      </c>
      <c r="J3" s="271" t="s">
        <v>91</v>
      </c>
      <c r="K3" s="268"/>
      <c r="L3" s="272" t="s">
        <v>37</v>
      </c>
      <c r="M3" s="271" t="s">
        <v>92</v>
      </c>
      <c r="N3" s="271" t="s">
        <v>93</v>
      </c>
      <c r="O3" s="271" t="s">
        <v>94</v>
      </c>
    </row>
    <row r="4" spans="1:15" ht="14.25" customHeight="1">
      <c r="A4" s="268" t="s">
        <v>95</v>
      </c>
      <c r="B4" s="273">
        <v>0</v>
      </c>
      <c r="C4" s="268"/>
      <c r="D4" s="268">
        <v>1</v>
      </c>
      <c r="E4" s="273">
        <f>(B7-B12)*B10/(100*12)</f>
        <v>312.08333333333326</v>
      </c>
      <c r="F4" s="273">
        <f>B12-E4</f>
        <v>-312.08333333333326</v>
      </c>
      <c r="G4" s="273">
        <f>E4+F4</f>
        <v>0</v>
      </c>
      <c r="H4" s="273">
        <f>E4</f>
        <v>312.08333333333326</v>
      </c>
      <c r="I4" s="273">
        <f>F4</f>
        <v>-312.08333333333326</v>
      </c>
      <c r="J4" s="273">
        <f>B7-F4</f>
        <v>50312.083333333336</v>
      </c>
      <c r="K4" s="268"/>
      <c r="L4" s="274">
        <f aca="true" t="shared" si="0" ref="L4:L64">G4/(1+$B$31)</f>
        <v>0</v>
      </c>
      <c r="M4" s="275">
        <f aca="true" t="shared" si="1" ref="M4:M64">F4/(1+$B$31)</f>
        <v>-288.6987357385137</v>
      </c>
      <c r="N4" s="275">
        <f aca="true" t="shared" si="2" ref="N4:N64">H4/(1+$B$31)</f>
        <v>288.6987357385137</v>
      </c>
      <c r="O4" s="275">
        <f aca="true" t="shared" si="3" ref="O4:O64">J4/(1+$B$31)</f>
        <v>46542.16774591428</v>
      </c>
    </row>
    <row r="5" spans="1:15" ht="14.25" customHeight="1">
      <c r="A5" s="276" t="s">
        <v>96</v>
      </c>
      <c r="B5" s="277">
        <f>B3+B4</f>
        <v>50000</v>
      </c>
      <c r="C5" s="268"/>
      <c r="D5" s="268">
        <v>2</v>
      </c>
      <c r="E5" s="273">
        <f aca="true" t="shared" si="4" ref="E5:E64">(J4-$B$24)*$B$10/(100*12)</f>
        <v>306.4632326388889</v>
      </c>
      <c r="F5" s="273">
        <f aca="true" t="shared" si="5" ref="F5:F64">$B$24-E5</f>
        <v>906.0367673611111</v>
      </c>
      <c r="G5" s="273">
        <f>E5+F5</f>
        <v>1212.5</v>
      </c>
      <c r="H5" s="273">
        <f>H4+E5</f>
        <v>618.5465659722222</v>
      </c>
      <c r="I5" s="273">
        <f>I4+F5</f>
        <v>593.9534340277778</v>
      </c>
      <c r="J5" s="273">
        <f>J4-F5</f>
        <v>49406.046565972225</v>
      </c>
      <c r="K5" s="268"/>
      <c r="L5" s="274">
        <f t="shared" si="0"/>
        <v>1121.6466234967622</v>
      </c>
      <c r="M5" s="275">
        <f t="shared" si="1"/>
        <v>838.1468708243395</v>
      </c>
      <c r="N5" s="275">
        <f t="shared" si="2"/>
        <v>572.1984884109364</v>
      </c>
      <c r="O5" s="275">
        <f t="shared" si="3"/>
        <v>45704.02087508994</v>
      </c>
    </row>
    <row r="6" spans="1:15" ht="14.25" customHeight="1">
      <c r="A6" s="268" t="s">
        <v>97</v>
      </c>
      <c r="B6" s="273">
        <v>0</v>
      </c>
      <c r="C6" s="268"/>
      <c r="D6" s="268">
        <v>3</v>
      </c>
      <c r="E6" s="273">
        <f t="shared" si="4"/>
        <v>300.80805314927665</v>
      </c>
      <c r="F6" s="273">
        <f t="shared" si="5"/>
        <v>911.6919468507233</v>
      </c>
      <c r="G6" s="273">
        <f aca="true" t="shared" si="6" ref="G6:G64">E6+F6</f>
        <v>1212.5</v>
      </c>
      <c r="H6" s="273">
        <f aca="true" t="shared" si="7" ref="H6:I21">H5+E6</f>
        <v>919.3546191214989</v>
      </c>
      <c r="I6" s="273">
        <f t="shared" si="7"/>
        <v>1505.645380878501</v>
      </c>
      <c r="J6" s="273">
        <f aca="true" t="shared" si="8" ref="J6:J64">J5-F6</f>
        <v>48494.3546191215</v>
      </c>
      <c r="K6" s="268"/>
      <c r="L6" s="274">
        <f t="shared" si="0"/>
        <v>1121.6466234967622</v>
      </c>
      <c r="M6" s="275">
        <f t="shared" si="1"/>
        <v>843.3783042097348</v>
      </c>
      <c r="N6" s="275">
        <f t="shared" si="2"/>
        <v>850.4668076979639</v>
      </c>
      <c r="O6" s="275">
        <f t="shared" si="3"/>
        <v>44860.642570880205</v>
      </c>
    </row>
    <row r="7" spans="1:15" ht="14.25" customHeight="1">
      <c r="A7" s="276" t="s">
        <v>98</v>
      </c>
      <c r="B7" s="277">
        <f>B5-B6</f>
        <v>50000</v>
      </c>
      <c r="C7" s="273"/>
      <c r="D7" s="268">
        <v>4</v>
      </c>
      <c r="E7" s="273">
        <f t="shared" si="4"/>
        <v>295.11757591435</v>
      </c>
      <c r="F7" s="273">
        <f t="shared" si="5"/>
        <v>917.38242408565</v>
      </c>
      <c r="G7" s="273">
        <f t="shared" si="6"/>
        <v>1212.5</v>
      </c>
      <c r="H7" s="273">
        <f t="shared" si="7"/>
        <v>1214.472195035849</v>
      </c>
      <c r="I7" s="273">
        <f t="shared" si="7"/>
        <v>2423.027804964151</v>
      </c>
      <c r="J7" s="273">
        <f t="shared" si="8"/>
        <v>47576.97219503585</v>
      </c>
      <c r="K7" s="268"/>
      <c r="L7" s="274">
        <f t="shared" si="0"/>
        <v>1121.6466234967622</v>
      </c>
      <c r="M7" s="275">
        <f t="shared" si="1"/>
        <v>848.6423904585106</v>
      </c>
      <c r="N7" s="275">
        <f t="shared" si="2"/>
        <v>1123.4710407362156</v>
      </c>
      <c r="O7" s="275">
        <f t="shared" si="3"/>
        <v>44012.000180421695</v>
      </c>
    </row>
    <row r="8" spans="1:15" ht="14.25" customHeight="1">
      <c r="A8" s="267"/>
      <c r="B8" s="278"/>
      <c r="C8" s="273"/>
      <c r="D8" s="268">
        <v>5</v>
      </c>
      <c r="E8" s="273">
        <f t="shared" si="4"/>
        <v>289.3915806173488</v>
      </c>
      <c r="F8" s="273">
        <f t="shared" si="5"/>
        <v>923.1084193826512</v>
      </c>
      <c r="G8" s="273">
        <f t="shared" si="6"/>
        <v>1212.5</v>
      </c>
      <c r="H8" s="273">
        <f t="shared" si="7"/>
        <v>1503.8637756531978</v>
      </c>
      <c r="I8" s="273">
        <f t="shared" si="7"/>
        <v>3346.136224346802</v>
      </c>
      <c r="J8" s="273">
        <f t="shared" si="8"/>
        <v>46653.8637756532</v>
      </c>
      <c r="K8" s="268"/>
      <c r="L8" s="274">
        <f t="shared" si="0"/>
        <v>1121.6466234967622</v>
      </c>
      <c r="M8" s="275">
        <f t="shared" si="1"/>
        <v>853.9393333789558</v>
      </c>
      <c r="N8" s="275">
        <f t="shared" si="2"/>
        <v>1391.178330854022</v>
      </c>
      <c r="O8" s="275">
        <f t="shared" si="3"/>
        <v>43158.06084704274</v>
      </c>
    </row>
    <row r="9" spans="1:15" ht="14.25" customHeight="1">
      <c r="A9" s="268" t="s">
        <v>99</v>
      </c>
      <c r="B9" s="270">
        <f>LEASING!H13</f>
        <v>48</v>
      </c>
      <c r="C9" s="268"/>
      <c r="D9" s="268">
        <v>6</v>
      </c>
      <c r="E9" s="273">
        <f t="shared" si="4"/>
        <v>283.6298455663687</v>
      </c>
      <c r="F9" s="273">
        <f t="shared" si="5"/>
        <v>928.8701544336313</v>
      </c>
      <c r="G9" s="273">
        <f t="shared" si="6"/>
        <v>1212.5</v>
      </c>
      <c r="H9" s="273">
        <f t="shared" si="7"/>
        <v>1787.4936212195664</v>
      </c>
      <c r="I9" s="273">
        <f t="shared" si="7"/>
        <v>4275.006378780434</v>
      </c>
      <c r="J9" s="273">
        <f t="shared" si="8"/>
        <v>45724.99362121957</v>
      </c>
      <c r="K9" s="268"/>
      <c r="L9" s="274">
        <f t="shared" si="0"/>
        <v>1121.6466234967622</v>
      </c>
      <c r="M9" s="275">
        <f t="shared" si="1"/>
        <v>859.2693380514629</v>
      </c>
      <c r="N9" s="275">
        <f t="shared" si="2"/>
        <v>1653.5556162993214</v>
      </c>
      <c r="O9" s="275">
        <f t="shared" si="3"/>
        <v>42298.79150899128</v>
      </c>
    </row>
    <row r="10" spans="1:15" ht="14.25" customHeight="1">
      <c r="A10" s="268" t="s">
        <v>100</v>
      </c>
      <c r="B10" s="270">
        <f>LEASING!H11*100</f>
        <v>7.489999999999999</v>
      </c>
      <c r="C10" s="273"/>
      <c r="D10" s="268">
        <v>7</v>
      </c>
      <c r="E10" s="273">
        <f t="shared" si="4"/>
        <v>277.83214768577875</v>
      </c>
      <c r="F10" s="273">
        <f t="shared" si="5"/>
        <v>934.6678523142212</v>
      </c>
      <c r="G10" s="273">
        <f t="shared" si="6"/>
        <v>1212.5</v>
      </c>
      <c r="H10" s="273">
        <f t="shared" si="7"/>
        <v>2065.3257689053453</v>
      </c>
      <c r="I10" s="273">
        <f t="shared" si="7"/>
        <v>5209.674231094655</v>
      </c>
      <c r="J10" s="273">
        <f t="shared" si="8"/>
        <v>44790.32576890535</v>
      </c>
      <c r="K10" s="268"/>
      <c r="L10" s="274">
        <f t="shared" si="0"/>
        <v>1121.6466234967622</v>
      </c>
      <c r="M10" s="275">
        <f t="shared" si="1"/>
        <v>864.6326108364674</v>
      </c>
      <c r="N10" s="275">
        <f t="shared" si="2"/>
        <v>1910.5696289596165</v>
      </c>
      <c r="O10" s="275">
        <f t="shared" si="3"/>
        <v>41434.15889815481</v>
      </c>
    </row>
    <row r="11" spans="1:15" ht="14.25" customHeight="1">
      <c r="A11" s="268"/>
      <c r="B11" s="273"/>
      <c r="C11" s="273"/>
      <c r="D11" s="268">
        <v>8</v>
      </c>
      <c r="E11" s="273">
        <f t="shared" si="4"/>
        <v>271.9982625075842</v>
      </c>
      <c r="F11" s="273">
        <f t="shared" si="5"/>
        <v>940.5017374924158</v>
      </c>
      <c r="G11" s="273">
        <f t="shared" si="6"/>
        <v>1212.5</v>
      </c>
      <c r="H11" s="273">
        <f t="shared" si="7"/>
        <v>2337.3240314129293</v>
      </c>
      <c r="I11" s="273">
        <f t="shared" si="7"/>
        <v>6150.17596858707</v>
      </c>
      <c r="J11" s="273">
        <f t="shared" si="8"/>
        <v>43849.824031412936</v>
      </c>
      <c r="K11" s="268"/>
      <c r="L11" s="274">
        <f t="shared" si="0"/>
        <v>1121.6466234967622</v>
      </c>
      <c r="M11" s="275">
        <f t="shared" si="1"/>
        <v>870.0293593824383</v>
      </c>
      <c r="N11" s="275">
        <f t="shared" si="2"/>
        <v>2162.18689307394</v>
      </c>
      <c r="O11" s="275">
        <f t="shared" si="3"/>
        <v>40564.12953877237</v>
      </c>
    </row>
    <row r="12" spans="1:15" ht="14.25" customHeight="1">
      <c r="A12" s="268" t="s">
        <v>101</v>
      </c>
      <c r="B12" s="270">
        <f>LEASING!H17</f>
        <v>0</v>
      </c>
      <c r="C12" s="273"/>
      <c r="D12" s="268">
        <v>9</v>
      </c>
      <c r="E12" s="273">
        <f t="shared" si="4"/>
        <v>266.12796416273574</v>
      </c>
      <c r="F12" s="273">
        <f t="shared" si="5"/>
        <v>946.3720358372643</v>
      </c>
      <c r="G12" s="273">
        <f t="shared" si="6"/>
        <v>1212.5</v>
      </c>
      <c r="H12" s="273">
        <f t="shared" si="7"/>
        <v>2603.451995575665</v>
      </c>
      <c r="I12" s="273">
        <f t="shared" si="7"/>
        <v>7096.548004424334</v>
      </c>
      <c r="J12" s="273">
        <f t="shared" si="8"/>
        <v>42903.45199557567</v>
      </c>
      <c r="K12" s="268"/>
      <c r="L12" s="274">
        <f t="shared" si="0"/>
        <v>1121.6466234967622</v>
      </c>
      <c r="M12" s="275">
        <f t="shared" si="1"/>
        <v>875.4597926339171</v>
      </c>
      <c r="N12" s="275">
        <f t="shared" si="2"/>
        <v>2408.3737239367856</v>
      </c>
      <c r="O12" s="275">
        <f t="shared" si="3"/>
        <v>39688.669746138454</v>
      </c>
    </row>
    <row r="13" spans="1:15" ht="14.25" customHeight="1">
      <c r="A13" s="268" t="s">
        <v>102</v>
      </c>
      <c r="B13" s="273">
        <f>(B7-B12)*B10/(100*12)</f>
        <v>312.08333333333326</v>
      </c>
      <c r="C13" s="273"/>
      <c r="D13" s="268">
        <v>10</v>
      </c>
      <c r="E13" s="273">
        <f t="shared" si="4"/>
        <v>260.2210253723848</v>
      </c>
      <c r="F13" s="273">
        <f t="shared" si="5"/>
        <v>952.2789746276152</v>
      </c>
      <c r="G13" s="273">
        <f t="shared" si="6"/>
        <v>1212.5</v>
      </c>
      <c r="H13" s="273">
        <f t="shared" si="7"/>
        <v>2863.6730209480497</v>
      </c>
      <c r="I13" s="273">
        <f t="shared" si="7"/>
        <v>8048.826979051949</v>
      </c>
      <c r="J13" s="273">
        <f t="shared" si="8"/>
        <v>41951.17302094805</v>
      </c>
      <c r="K13" s="268"/>
      <c r="L13" s="274">
        <f t="shared" si="0"/>
        <v>1121.6466234967622</v>
      </c>
      <c r="M13" s="275">
        <f t="shared" si="1"/>
        <v>880.9241208396071</v>
      </c>
      <c r="N13" s="275">
        <f t="shared" si="2"/>
        <v>2649.0962265939406</v>
      </c>
      <c r="O13" s="275">
        <f t="shared" si="3"/>
        <v>38807.74562529885</v>
      </c>
    </row>
    <row r="14" spans="1:15" ht="14.25" customHeight="1">
      <c r="A14" s="268" t="s">
        <v>103</v>
      </c>
      <c r="B14" s="273">
        <f>B12-B13</f>
        <v>-312.08333333333326</v>
      </c>
      <c r="C14" s="273"/>
      <c r="D14" s="268">
        <v>11</v>
      </c>
      <c r="E14" s="273">
        <f t="shared" si="4"/>
        <v>254.27721743908404</v>
      </c>
      <c r="F14" s="273">
        <f t="shared" si="5"/>
        <v>958.2227825609159</v>
      </c>
      <c r="G14" s="273">
        <f t="shared" si="6"/>
        <v>1212.5</v>
      </c>
      <c r="H14" s="273">
        <f t="shared" si="7"/>
        <v>3117.9502383871336</v>
      </c>
      <c r="I14" s="273">
        <f t="shared" si="7"/>
        <v>9007.049761612865</v>
      </c>
      <c r="J14" s="273">
        <f t="shared" si="8"/>
        <v>40992.95023838714</v>
      </c>
      <c r="K14" s="268"/>
      <c r="L14" s="274">
        <f t="shared" si="0"/>
        <v>1121.6466234967622</v>
      </c>
      <c r="M14" s="275">
        <f t="shared" si="1"/>
        <v>886.4225555605143</v>
      </c>
      <c r="N14" s="275">
        <f t="shared" si="2"/>
        <v>2884.320294530188</v>
      </c>
      <c r="O14" s="275">
        <f t="shared" si="3"/>
        <v>37921.32306973833</v>
      </c>
    </row>
    <row r="15" spans="1:15" ht="14.25" customHeight="1">
      <c r="A15" s="268"/>
      <c r="B15" s="273"/>
      <c r="C15" s="273"/>
      <c r="D15" s="268">
        <v>12</v>
      </c>
      <c r="E15" s="273">
        <f t="shared" si="4"/>
        <v>248.29631023793303</v>
      </c>
      <c r="F15" s="273">
        <f t="shared" si="5"/>
        <v>964.2036897620669</v>
      </c>
      <c r="G15" s="273">
        <f t="shared" si="6"/>
        <v>1212.5</v>
      </c>
      <c r="H15" s="273">
        <f t="shared" si="7"/>
        <v>3366.2465486250667</v>
      </c>
      <c r="I15" s="273">
        <f t="shared" si="7"/>
        <v>9971.253451374932</v>
      </c>
      <c r="J15" s="273">
        <f t="shared" si="8"/>
        <v>40028.74654862507</v>
      </c>
      <c r="K15" s="268"/>
      <c r="L15" s="274">
        <f t="shared" si="0"/>
        <v>1121.6466234967622</v>
      </c>
      <c r="M15" s="275">
        <f t="shared" si="1"/>
        <v>891.9553096781378</v>
      </c>
      <c r="N15" s="275">
        <f t="shared" si="2"/>
        <v>3114.011608348813</v>
      </c>
      <c r="O15" s="275">
        <f t="shared" si="3"/>
        <v>37029.367760060195</v>
      </c>
    </row>
    <row r="16" spans="1:15" ht="14.25" customHeight="1">
      <c r="A16" s="268" t="s">
        <v>35</v>
      </c>
      <c r="B16" s="270">
        <f>LEASING!H15</f>
        <v>1000</v>
      </c>
      <c r="C16" s="273"/>
      <c r="D16" s="268">
        <v>13</v>
      </c>
      <c r="E16" s="273">
        <f t="shared" si="4"/>
        <v>242.27807220766815</v>
      </c>
      <c r="F16" s="273">
        <f t="shared" si="5"/>
        <v>970.2219277923318</v>
      </c>
      <c r="G16" s="273">
        <f t="shared" si="6"/>
        <v>1212.5</v>
      </c>
      <c r="H16" s="273">
        <f t="shared" si="7"/>
        <v>3608.524620832735</v>
      </c>
      <c r="I16" s="273">
        <f t="shared" si="7"/>
        <v>10941.475379167265</v>
      </c>
      <c r="J16" s="273">
        <f t="shared" si="8"/>
        <v>39058.524620832744</v>
      </c>
      <c r="K16" s="268"/>
      <c r="L16" s="274">
        <f t="shared" si="0"/>
        <v>1121.6466234967622</v>
      </c>
      <c r="M16" s="275">
        <f t="shared" si="1"/>
        <v>897.5225974027122</v>
      </c>
      <c r="N16" s="275">
        <f t="shared" si="2"/>
        <v>3338.135634442863</v>
      </c>
      <c r="O16" s="275">
        <f t="shared" si="3"/>
        <v>36131.84516265749</v>
      </c>
    </row>
    <row r="17" spans="1:15" ht="14.25" customHeight="1">
      <c r="A17" s="268" t="s">
        <v>104</v>
      </c>
      <c r="B17" s="273">
        <f>B16/(B20^B9)</f>
        <v>741.8050020262648</v>
      </c>
      <c r="C17" s="273"/>
      <c r="D17" s="268">
        <v>14</v>
      </c>
      <c r="E17" s="273">
        <f t="shared" si="4"/>
        <v>236.22227034169768</v>
      </c>
      <c r="F17" s="273">
        <f t="shared" si="5"/>
        <v>976.2777296583023</v>
      </c>
      <c r="G17" s="273">
        <f t="shared" si="6"/>
        <v>1212.5</v>
      </c>
      <c r="H17" s="273">
        <f t="shared" si="7"/>
        <v>3844.7468911744327</v>
      </c>
      <c r="I17" s="273">
        <f t="shared" si="7"/>
        <v>11917.753108825567</v>
      </c>
      <c r="J17" s="273">
        <f t="shared" si="8"/>
        <v>38082.24689117444</v>
      </c>
      <c r="K17" s="268"/>
      <c r="L17" s="274">
        <f t="shared" si="0"/>
        <v>1121.6466234967622</v>
      </c>
      <c r="M17" s="275">
        <f t="shared" si="1"/>
        <v>903.1246342815008</v>
      </c>
      <c r="N17" s="275">
        <f t="shared" si="2"/>
        <v>3556.6576236581245</v>
      </c>
      <c r="O17" s="275">
        <f t="shared" si="3"/>
        <v>35228.72052837599</v>
      </c>
    </row>
    <row r="18" spans="1:15" ht="14.25" customHeight="1">
      <c r="A18" s="268" t="s">
        <v>105</v>
      </c>
      <c r="B18" s="273">
        <f>B16-B17</f>
        <v>258.1949979737352</v>
      </c>
      <c r="C18" s="273"/>
      <c r="D18" s="268">
        <v>15</v>
      </c>
      <c r="E18" s="273">
        <f t="shared" si="4"/>
        <v>230.12867017908047</v>
      </c>
      <c r="F18" s="273">
        <f t="shared" si="5"/>
        <v>982.3713298209195</v>
      </c>
      <c r="G18" s="273">
        <f t="shared" si="6"/>
        <v>1212.5</v>
      </c>
      <c r="H18" s="273">
        <f t="shared" si="7"/>
        <v>4074.875561353513</v>
      </c>
      <c r="I18" s="273">
        <f t="shared" si="7"/>
        <v>12900.124438646486</v>
      </c>
      <c r="J18" s="273">
        <f t="shared" si="8"/>
        <v>37099.875561353525</v>
      </c>
      <c r="K18" s="268"/>
      <c r="L18" s="274">
        <f t="shared" si="0"/>
        <v>1121.6466234967622</v>
      </c>
      <c r="M18" s="275">
        <f t="shared" si="1"/>
        <v>908.7616372071411</v>
      </c>
      <c r="N18" s="275">
        <f t="shared" si="2"/>
        <v>3769.542609947746</v>
      </c>
      <c r="O18" s="275">
        <f t="shared" si="3"/>
        <v>34319.95889116885</v>
      </c>
    </row>
    <row r="19" spans="1:15" ht="14.25" customHeight="1">
      <c r="A19" s="268"/>
      <c r="B19" s="273"/>
      <c r="C19" s="273"/>
      <c r="D19" s="268">
        <v>16</v>
      </c>
      <c r="E19" s="273">
        <f t="shared" si="4"/>
        <v>223.99703579544823</v>
      </c>
      <c r="F19" s="273">
        <f t="shared" si="5"/>
        <v>988.5029642045517</v>
      </c>
      <c r="G19" s="273">
        <f t="shared" si="6"/>
        <v>1212.5</v>
      </c>
      <c r="H19" s="273">
        <f t="shared" si="7"/>
        <v>4298.872597148961</v>
      </c>
      <c r="I19" s="273">
        <f t="shared" si="7"/>
        <v>13888.627402851038</v>
      </c>
      <c r="J19" s="273">
        <f t="shared" si="8"/>
        <v>36111.37259714898</v>
      </c>
      <c r="K19" s="268"/>
      <c r="L19" s="274">
        <f t="shared" si="0"/>
        <v>1121.6466234967622</v>
      </c>
      <c r="M19" s="275">
        <f t="shared" si="1"/>
        <v>914.4338244260424</v>
      </c>
      <c r="N19" s="275">
        <f t="shared" si="2"/>
        <v>3976.755409018466</v>
      </c>
      <c r="O19" s="275">
        <f t="shared" si="3"/>
        <v>33405.52506674281</v>
      </c>
    </row>
    <row r="20" spans="1:15" ht="14.25" customHeight="1">
      <c r="A20" s="268" t="s">
        <v>106</v>
      </c>
      <c r="B20" s="268">
        <f>(B10/100)/12+1</f>
        <v>1.0062416666666667</v>
      </c>
      <c r="C20" s="268"/>
      <c r="D20" s="268">
        <v>17</v>
      </c>
      <c r="E20" s="273">
        <f t="shared" si="4"/>
        <v>217.8271297938715</v>
      </c>
      <c r="F20" s="273">
        <f t="shared" si="5"/>
        <v>994.6728702061284</v>
      </c>
      <c r="G20" s="273">
        <f t="shared" si="6"/>
        <v>1212.5</v>
      </c>
      <c r="H20" s="273">
        <f t="shared" si="7"/>
        <v>4516.699726942833</v>
      </c>
      <c r="I20" s="273">
        <f t="shared" si="7"/>
        <v>14883.300273057166</v>
      </c>
      <c r="J20" s="273">
        <f t="shared" si="8"/>
        <v>35116.69972694285</v>
      </c>
      <c r="K20" s="268"/>
      <c r="L20" s="274">
        <f t="shared" si="0"/>
        <v>1121.6466234967622</v>
      </c>
      <c r="M20" s="275">
        <f t="shared" si="1"/>
        <v>920.1414155468349</v>
      </c>
      <c r="N20" s="275">
        <f t="shared" si="2"/>
        <v>4178.260616968393</v>
      </c>
      <c r="O20" s="275">
        <f t="shared" si="3"/>
        <v>32485.383651195974</v>
      </c>
    </row>
    <row r="21" spans="1:15" ht="14.25" customHeight="1">
      <c r="A21" s="268" t="s">
        <v>107</v>
      </c>
      <c r="B21" s="268">
        <f>(B20^(B9-2))/((B20^(B9-1))-1)*(B20-1)</f>
        <v>0.02446296770403155</v>
      </c>
      <c r="C21" s="268"/>
      <c r="D21" s="268">
        <v>18</v>
      </c>
      <c r="E21" s="273">
        <f t="shared" si="4"/>
        <v>211.61871329566824</v>
      </c>
      <c r="F21" s="273">
        <f t="shared" si="5"/>
        <v>1000.8812867043317</v>
      </c>
      <c r="G21" s="273">
        <f t="shared" si="6"/>
        <v>1212.5</v>
      </c>
      <c r="H21" s="273">
        <f t="shared" si="7"/>
        <v>4728.318440238501</v>
      </c>
      <c r="I21" s="273">
        <f t="shared" si="7"/>
        <v>15884.181559761499</v>
      </c>
      <c r="J21" s="273">
        <f t="shared" si="8"/>
        <v>34115.818440238516</v>
      </c>
      <c r="K21" s="268"/>
      <c r="L21" s="274">
        <f t="shared" si="0"/>
        <v>1121.6466234967622</v>
      </c>
      <c r="M21" s="275">
        <f t="shared" si="1"/>
        <v>925.884631548873</v>
      </c>
      <c r="N21" s="275">
        <f t="shared" si="2"/>
        <v>4374.0226089162825</v>
      </c>
      <c r="O21" s="275">
        <f t="shared" si="3"/>
        <v>31559.4990196471</v>
      </c>
    </row>
    <row r="22" spans="1:15" ht="14.25" customHeight="1">
      <c r="A22" s="268"/>
      <c r="B22" s="268"/>
      <c r="C22" s="268"/>
      <c r="D22" s="268">
        <v>19</v>
      </c>
      <c r="E22" s="273">
        <f t="shared" si="4"/>
        <v>205.3715459311554</v>
      </c>
      <c r="F22" s="273">
        <f t="shared" si="5"/>
        <v>1007.1284540688446</v>
      </c>
      <c r="G22" s="273">
        <f t="shared" si="6"/>
        <v>1212.5</v>
      </c>
      <c r="H22" s="273">
        <f aca="true" t="shared" si="9" ref="H22:I37">H21+E22</f>
        <v>4933.689986169657</v>
      </c>
      <c r="I22" s="273">
        <f t="shared" si="9"/>
        <v>16891.31001383034</v>
      </c>
      <c r="J22" s="273">
        <f t="shared" si="8"/>
        <v>33108.68998616967</v>
      </c>
      <c r="K22" s="268"/>
      <c r="L22" s="274">
        <f t="shared" si="0"/>
        <v>1121.6466234967622</v>
      </c>
      <c r="M22" s="275">
        <f t="shared" si="1"/>
        <v>931.6636947907906</v>
      </c>
      <c r="N22" s="275">
        <f t="shared" si="2"/>
        <v>4564.005537622254</v>
      </c>
      <c r="O22" s="275">
        <f t="shared" si="3"/>
        <v>30627.835324856314</v>
      </c>
    </row>
    <row r="23" spans="3:15" ht="14.25" customHeight="1">
      <c r="C23" s="273"/>
      <c r="D23" s="268">
        <v>20</v>
      </c>
      <c r="E23" s="273">
        <f t="shared" si="4"/>
        <v>199.08538583034235</v>
      </c>
      <c r="F23" s="273">
        <f t="shared" si="5"/>
        <v>1013.4146141696576</v>
      </c>
      <c r="G23" s="273">
        <f t="shared" si="6"/>
        <v>1212.5</v>
      </c>
      <c r="H23" s="273">
        <f t="shared" si="9"/>
        <v>5132.775371999999</v>
      </c>
      <c r="I23" s="273">
        <f t="shared" si="9"/>
        <v>17904.724628</v>
      </c>
      <c r="J23" s="273">
        <f t="shared" si="8"/>
        <v>32095.275372000015</v>
      </c>
      <c r="K23" s="268"/>
      <c r="L23" s="274">
        <f t="shared" si="0"/>
        <v>1121.6466234967622</v>
      </c>
      <c r="M23" s="275">
        <f t="shared" si="1"/>
        <v>937.4788290191098</v>
      </c>
      <c r="N23" s="275">
        <f t="shared" si="2"/>
        <v>4748.1733320999065</v>
      </c>
      <c r="O23" s="275">
        <f t="shared" si="3"/>
        <v>29690.3564958372</v>
      </c>
    </row>
    <row r="24" spans="1:15" ht="14.25" customHeight="1">
      <c r="A24" s="268" t="s">
        <v>108</v>
      </c>
      <c r="B24" s="279">
        <f>MROUND(((B7-B17)-(B12-((B7-B17-B12)*B10/(100*12))))*B21,0.05)</f>
        <v>1212.5</v>
      </c>
      <c r="C24" s="273"/>
      <c r="D24" s="268">
        <v>21</v>
      </c>
      <c r="E24" s="273">
        <f t="shared" si="4"/>
        <v>192.75998961356674</v>
      </c>
      <c r="F24" s="273">
        <f t="shared" si="5"/>
        <v>1019.7400103864333</v>
      </c>
      <c r="G24" s="273">
        <f t="shared" si="6"/>
        <v>1212.5</v>
      </c>
      <c r="H24" s="273">
        <f t="shared" si="9"/>
        <v>5325.535361613566</v>
      </c>
      <c r="I24" s="273">
        <f t="shared" si="9"/>
        <v>18924.464638386435</v>
      </c>
      <c r="J24" s="273">
        <f t="shared" si="8"/>
        <v>31075.53536161358</v>
      </c>
      <c r="K24" s="268"/>
      <c r="L24" s="274">
        <f t="shared" si="0"/>
        <v>1121.6466234967622</v>
      </c>
      <c r="M24" s="275">
        <f t="shared" si="1"/>
        <v>943.3302593769041</v>
      </c>
      <c r="N24" s="275">
        <f t="shared" si="2"/>
        <v>4926.489696219765</v>
      </c>
      <c r="O24" s="275">
        <f t="shared" si="3"/>
        <v>28747.026236460297</v>
      </c>
    </row>
    <row r="25" spans="1:15" ht="14.25" customHeight="1">
      <c r="A25" s="268" t="s">
        <v>109</v>
      </c>
      <c r="B25" s="279">
        <f>B24*0.0597</f>
        <v>72.38625</v>
      </c>
      <c r="C25" s="268"/>
      <c r="D25" s="268">
        <v>22</v>
      </c>
      <c r="E25" s="273">
        <f t="shared" si="4"/>
        <v>186.3951123820714</v>
      </c>
      <c r="F25" s="273">
        <f t="shared" si="5"/>
        <v>1026.1048876179286</v>
      </c>
      <c r="G25" s="273">
        <f t="shared" si="6"/>
        <v>1212.5</v>
      </c>
      <c r="H25" s="273">
        <f t="shared" si="9"/>
        <v>5511.930473995638</v>
      </c>
      <c r="I25" s="273">
        <f t="shared" si="9"/>
        <v>19950.569526004365</v>
      </c>
      <c r="J25" s="273">
        <f t="shared" si="8"/>
        <v>30049.43047399565</v>
      </c>
      <c r="K25" s="268"/>
      <c r="L25" s="274">
        <f t="shared" si="0"/>
        <v>1121.6466234967622</v>
      </c>
      <c r="M25" s="275">
        <f t="shared" si="1"/>
        <v>949.218212412515</v>
      </c>
      <c r="N25" s="275">
        <f t="shared" si="2"/>
        <v>5098.918107304013</v>
      </c>
      <c r="O25" s="275">
        <f t="shared" si="3"/>
        <v>27797.80802404778</v>
      </c>
    </row>
    <row r="26" spans="1:15" ht="14.25" customHeight="1">
      <c r="A26" s="268" t="s">
        <v>110</v>
      </c>
      <c r="B26" s="279">
        <f>MROUND(B24+B25,0.05)</f>
        <v>1284.9</v>
      </c>
      <c r="C26" s="268"/>
      <c r="D26" s="268">
        <v>23</v>
      </c>
      <c r="E26" s="273">
        <f t="shared" si="4"/>
        <v>179.99050770852284</v>
      </c>
      <c r="F26" s="273">
        <f t="shared" si="5"/>
        <v>1032.5094922914773</v>
      </c>
      <c r="G26" s="273">
        <f t="shared" si="6"/>
        <v>1212.5</v>
      </c>
      <c r="H26" s="273">
        <f t="shared" si="9"/>
        <v>5691.920981704161</v>
      </c>
      <c r="I26" s="273">
        <f t="shared" si="9"/>
        <v>20983.07901829584</v>
      </c>
      <c r="J26" s="273">
        <f t="shared" si="8"/>
        <v>29016.920981704174</v>
      </c>
      <c r="K26" s="268"/>
      <c r="L26" s="274">
        <f t="shared" si="0"/>
        <v>1121.6466234967622</v>
      </c>
      <c r="M26" s="275">
        <f t="shared" si="1"/>
        <v>955.1429160883231</v>
      </c>
      <c r="N26" s="275">
        <f t="shared" si="2"/>
        <v>5265.421814712453</v>
      </c>
      <c r="O26" s="275">
        <f t="shared" si="3"/>
        <v>26842.66510795946</v>
      </c>
    </row>
    <row r="27" spans="3:15" ht="14.25" customHeight="1">
      <c r="C27" s="268"/>
      <c r="D27" s="268">
        <v>24</v>
      </c>
      <c r="E27" s="273">
        <f t="shared" si="4"/>
        <v>173.5459276274702</v>
      </c>
      <c r="F27" s="273">
        <f t="shared" si="5"/>
        <v>1038.9540723725297</v>
      </c>
      <c r="G27" s="273">
        <f t="shared" si="6"/>
        <v>1212.5</v>
      </c>
      <c r="H27" s="273">
        <f t="shared" si="9"/>
        <v>5865.4669093316315</v>
      </c>
      <c r="I27" s="273">
        <f t="shared" si="9"/>
        <v>22022.03309066837</v>
      </c>
      <c r="J27" s="273">
        <f t="shared" si="8"/>
        <v>27977.966909331644</v>
      </c>
      <c r="K27" s="268"/>
      <c r="L27" s="274">
        <f t="shared" si="0"/>
        <v>1121.6466234967622</v>
      </c>
      <c r="M27" s="275">
        <f t="shared" si="1"/>
        <v>961.1045997895742</v>
      </c>
      <c r="N27" s="275">
        <f t="shared" si="2"/>
        <v>5425.9638384196405</v>
      </c>
      <c r="O27" s="275">
        <f t="shared" si="3"/>
        <v>25881.560508169885</v>
      </c>
    </row>
    <row r="28" spans="1:15" ht="14.25" customHeight="1">
      <c r="A28" s="268" t="s">
        <v>111</v>
      </c>
      <c r="B28" s="280">
        <f>((B24*(B9-1)+B12)-(B7-B16))</f>
        <v>7987.5</v>
      </c>
      <c r="C28" s="281">
        <f>B28/(1+B31)</f>
        <v>7388.991674375578</v>
      </c>
      <c r="D28" s="268">
        <v>25</v>
      </c>
      <c r="E28" s="273">
        <f t="shared" si="4"/>
        <v>167.06112262574499</v>
      </c>
      <c r="F28" s="273">
        <f t="shared" si="5"/>
        <v>1045.438877374255</v>
      </c>
      <c r="G28" s="273">
        <f t="shared" si="6"/>
        <v>1212.5</v>
      </c>
      <c r="H28" s="273">
        <f t="shared" si="9"/>
        <v>6032.528031957377</v>
      </c>
      <c r="I28" s="273">
        <f t="shared" si="9"/>
        <v>23067.471968042624</v>
      </c>
      <c r="J28" s="273">
        <f t="shared" si="8"/>
        <v>26932.52803195739</v>
      </c>
      <c r="K28" s="268"/>
      <c r="L28" s="274">
        <f t="shared" si="0"/>
        <v>1121.6466234967622</v>
      </c>
      <c r="M28" s="275">
        <f t="shared" si="1"/>
        <v>967.103494333261</v>
      </c>
      <c r="N28" s="275">
        <f t="shared" si="2"/>
        <v>5580.506967583143</v>
      </c>
      <c r="O28" s="275">
        <f t="shared" si="3"/>
        <v>24914.457013836625</v>
      </c>
    </row>
    <row r="29" spans="1:15" ht="14.25" customHeight="1">
      <c r="A29" s="268" t="s">
        <v>112</v>
      </c>
      <c r="B29" s="280">
        <f>B28/B9*12</f>
        <v>1996.875</v>
      </c>
      <c r="C29" s="281">
        <f>B29/(1+B31)</f>
        <v>1847.2479185938946</v>
      </c>
      <c r="D29" s="268">
        <v>26</v>
      </c>
      <c r="E29" s="273">
        <f t="shared" si="4"/>
        <v>160.5358416328007</v>
      </c>
      <c r="F29" s="273">
        <f t="shared" si="5"/>
        <v>1051.9641583671994</v>
      </c>
      <c r="G29" s="273">
        <f t="shared" si="6"/>
        <v>1212.5</v>
      </c>
      <c r="H29" s="273">
        <f t="shared" si="9"/>
        <v>6193.0638735901775</v>
      </c>
      <c r="I29" s="273">
        <f t="shared" si="9"/>
        <v>24119.436126409822</v>
      </c>
      <c r="J29" s="273">
        <f t="shared" si="8"/>
        <v>25880.563873590192</v>
      </c>
      <c r="K29" s="268"/>
      <c r="L29" s="274">
        <f t="shared" si="0"/>
        <v>1121.6466234967622</v>
      </c>
      <c r="M29" s="275">
        <f t="shared" si="1"/>
        <v>973.1398319770577</v>
      </c>
      <c r="N29" s="275">
        <f t="shared" si="2"/>
        <v>5729.013759102847</v>
      </c>
      <c r="O29" s="275">
        <f t="shared" si="3"/>
        <v>23941.31718185957</v>
      </c>
    </row>
    <row r="30" spans="3:15" ht="14.25" customHeight="1">
      <c r="C30" s="268"/>
      <c r="D30" s="268">
        <v>27</v>
      </c>
      <c r="E30" s="273">
        <f t="shared" si="4"/>
        <v>153.9698320109921</v>
      </c>
      <c r="F30" s="273">
        <f t="shared" si="5"/>
        <v>1058.5301679890079</v>
      </c>
      <c r="G30" s="273">
        <f t="shared" si="6"/>
        <v>1212.5</v>
      </c>
      <c r="H30" s="273">
        <f t="shared" si="9"/>
        <v>6347.0337056011695</v>
      </c>
      <c r="I30" s="273">
        <f t="shared" si="9"/>
        <v>25177.96629439883</v>
      </c>
      <c r="J30" s="273">
        <f t="shared" si="8"/>
        <v>24822.033705601185</v>
      </c>
      <c r="K30" s="268"/>
      <c r="L30" s="274">
        <f t="shared" si="0"/>
        <v>1121.6466234967622</v>
      </c>
      <c r="M30" s="275">
        <f t="shared" si="1"/>
        <v>979.2138464283145</v>
      </c>
      <c r="N30" s="275">
        <f t="shared" si="2"/>
        <v>5871.446536171295</v>
      </c>
      <c r="O30" s="275">
        <f t="shared" si="3"/>
        <v>22962.103335431253</v>
      </c>
    </row>
    <row r="31" spans="1:15" ht="14.25" customHeight="1">
      <c r="A31" s="268" t="s">
        <v>8</v>
      </c>
      <c r="B31" s="282">
        <v>0.081</v>
      </c>
      <c r="C31" s="283"/>
      <c r="D31" s="268">
        <v>28</v>
      </c>
      <c r="E31" s="273">
        <f t="shared" si="4"/>
        <v>147.36283954579406</v>
      </c>
      <c r="F31" s="273">
        <f t="shared" si="5"/>
        <v>1065.137160454206</v>
      </c>
      <c r="G31" s="273">
        <f t="shared" si="6"/>
        <v>1212.5</v>
      </c>
      <c r="H31" s="273">
        <f t="shared" si="9"/>
        <v>6494.396545146964</v>
      </c>
      <c r="I31" s="273">
        <f t="shared" si="9"/>
        <v>26243.103454853037</v>
      </c>
      <c r="J31" s="273">
        <f t="shared" si="8"/>
        <v>23756.896545146978</v>
      </c>
      <c r="K31" s="268"/>
      <c r="L31" s="274">
        <f t="shared" si="0"/>
        <v>1121.6466234967622</v>
      </c>
      <c r="M31" s="275">
        <f t="shared" si="1"/>
        <v>985.3257728531046</v>
      </c>
      <c r="N31" s="275">
        <f t="shared" si="2"/>
        <v>6007.767386814953</v>
      </c>
      <c r="O31" s="275">
        <f t="shared" si="3"/>
        <v>21976.777562578147</v>
      </c>
    </row>
    <row r="32" spans="1:15" ht="14.25" customHeight="1">
      <c r="A32" s="268"/>
      <c r="B32" s="273"/>
      <c r="C32" s="268"/>
      <c r="D32" s="268">
        <v>29</v>
      </c>
      <c r="E32" s="273">
        <f t="shared" si="4"/>
        <v>140.71460843595904</v>
      </c>
      <c r="F32" s="273">
        <f t="shared" si="5"/>
        <v>1071.785391564041</v>
      </c>
      <c r="G32" s="273">
        <f t="shared" si="6"/>
        <v>1212.5</v>
      </c>
      <c r="H32" s="273">
        <f t="shared" si="9"/>
        <v>6635.111153582923</v>
      </c>
      <c r="I32" s="273">
        <f t="shared" si="9"/>
        <v>27314.888846417078</v>
      </c>
      <c r="J32" s="273">
        <f t="shared" si="8"/>
        <v>22685.111153582937</v>
      </c>
      <c r="K32" s="268"/>
      <c r="L32" s="274">
        <f t="shared" si="0"/>
        <v>1121.6466234967622</v>
      </c>
      <c r="M32" s="275">
        <f t="shared" si="1"/>
        <v>991.4758478853294</v>
      </c>
      <c r="N32" s="275">
        <f t="shared" si="2"/>
        <v>6137.938162426386</v>
      </c>
      <c r="O32" s="275">
        <f t="shared" si="3"/>
        <v>20985.301714692818</v>
      </c>
    </row>
    <row r="33" spans="1:15" ht="14.25" customHeight="1">
      <c r="A33" s="268"/>
      <c r="B33" s="273"/>
      <c r="C33" s="268"/>
      <c r="D33" s="268">
        <v>30</v>
      </c>
      <c r="E33" s="273">
        <f t="shared" si="4"/>
        <v>134.02488128361347</v>
      </c>
      <c r="F33" s="273">
        <f t="shared" si="5"/>
        <v>1078.4751187163865</v>
      </c>
      <c r="G33" s="273">
        <f t="shared" si="6"/>
        <v>1212.5</v>
      </c>
      <c r="H33" s="273">
        <f t="shared" si="9"/>
        <v>6769.136034866537</v>
      </c>
      <c r="I33" s="273">
        <f t="shared" si="9"/>
        <v>28393.363965133463</v>
      </c>
      <c r="J33" s="273">
        <f t="shared" si="8"/>
        <v>21606.63603486655</v>
      </c>
      <c r="K33" s="268"/>
      <c r="L33" s="274">
        <f t="shared" si="0"/>
        <v>1121.6466234967622</v>
      </c>
      <c r="M33" s="275">
        <f t="shared" si="1"/>
        <v>997.6643096358803</v>
      </c>
      <c r="N33" s="275">
        <f t="shared" si="2"/>
        <v>6261.920476287268</v>
      </c>
      <c r="O33" s="275">
        <f t="shared" si="3"/>
        <v>19987.63740505694</v>
      </c>
    </row>
    <row r="34" spans="1:15" ht="14.25" customHeight="1">
      <c r="A34" s="268"/>
      <c r="B34" s="268"/>
      <c r="C34" s="268"/>
      <c r="D34" s="268">
        <v>31</v>
      </c>
      <c r="E34" s="273">
        <f t="shared" si="4"/>
        <v>127.29339908429206</v>
      </c>
      <c r="F34" s="273">
        <f t="shared" si="5"/>
        <v>1085.206600915708</v>
      </c>
      <c r="G34" s="273">
        <f t="shared" si="6"/>
        <v>1212.5</v>
      </c>
      <c r="H34" s="273">
        <f t="shared" si="9"/>
        <v>6896.429433950829</v>
      </c>
      <c r="I34" s="273">
        <f t="shared" si="9"/>
        <v>29478.570566049173</v>
      </c>
      <c r="J34" s="273">
        <f t="shared" si="8"/>
        <v>20521.42943395084</v>
      </c>
      <c r="K34" s="268"/>
      <c r="L34" s="274">
        <f t="shared" si="0"/>
        <v>1121.6466234967622</v>
      </c>
      <c r="M34" s="275">
        <f t="shared" si="1"/>
        <v>1003.8913977018575</v>
      </c>
      <c r="N34" s="275">
        <f t="shared" si="2"/>
        <v>6379.675702082173</v>
      </c>
      <c r="O34" s="275">
        <f t="shared" si="3"/>
        <v>18983.74600735508</v>
      </c>
    </row>
    <row r="35" spans="1:15" ht="14.25" customHeight="1">
      <c r="A35" s="268"/>
      <c r="B35" s="268"/>
      <c r="C35" s="268"/>
      <c r="D35" s="268">
        <v>32</v>
      </c>
      <c r="E35" s="273">
        <f t="shared" si="4"/>
        <v>120.51990121690983</v>
      </c>
      <c r="F35" s="273">
        <f t="shared" si="5"/>
        <v>1091.9800987830902</v>
      </c>
      <c r="G35" s="273">
        <f t="shared" si="6"/>
        <v>1212.5</v>
      </c>
      <c r="H35" s="273">
        <f t="shared" si="9"/>
        <v>7016.949335167738</v>
      </c>
      <c r="I35" s="273">
        <f t="shared" si="9"/>
        <v>30570.550664832263</v>
      </c>
      <c r="J35" s="273">
        <f t="shared" si="8"/>
        <v>19429.449335167752</v>
      </c>
      <c r="K35" s="268"/>
      <c r="L35" s="274">
        <f t="shared" si="0"/>
        <v>1121.6466234967622</v>
      </c>
      <c r="M35" s="275">
        <f t="shared" si="1"/>
        <v>1010.1573531758467</v>
      </c>
      <c r="N35" s="275">
        <f t="shared" si="2"/>
        <v>6491.1649724030885</v>
      </c>
      <c r="O35" s="275">
        <f t="shared" si="3"/>
        <v>17973.588654179235</v>
      </c>
    </row>
    <row r="36" spans="1:15" ht="14.25" customHeight="1">
      <c r="A36" s="268"/>
      <c r="B36" s="268"/>
      <c r="C36" s="268"/>
      <c r="D36" s="268">
        <v>33</v>
      </c>
      <c r="E36" s="273">
        <f t="shared" si="4"/>
        <v>113.70412543367205</v>
      </c>
      <c r="F36" s="273">
        <f t="shared" si="5"/>
        <v>1098.795874566328</v>
      </c>
      <c r="G36" s="273">
        <f t="shared" si="6"/>
        <v>1212.5</v>
      </c>
      <c r="H36" s="273">
        <f t="shared" si="9"/>
        <v>7130.65346060141</v>
      </c>
      <c r="I36" s="273">
        <f t="shared" si="9"/>
        <v>31669.34653939859</v>
      </c>
      <c r="J36" s="273">
        <f t="shared" si="8"/>
        <v>18330.653460601425</v>
      </c>
      <c r="K36" s="268"/>
      <c r="L36" s="274">
        <f t="shared" si="0"/>
        <v>1121.6466234967622</v>
      </c>
      <c r="M36" s="275">
        <f t="shared" si="1"/>
        <v>1016.4624186552526</v>
      </c>
      <c r="N36" s="275">
        <f t="shared" si="2"/>
        <v>6596.349177244598</v>
      </c>
      <c r="O36" s="275">
        <f t="shared" si="3"/>
        <v>16957.12623552398</v>
      </c>
    </row>
    <row r="37" spans="1:15" ht="14.25" customHeight="1">
      <c r="A37" s="268"/>
      <c r="B37" s="268"/>
      <c r="C37" s="268"/>
      <c r="D37" s="268">
        <v>34</v>
      </c>
      <c r="E37" s="273">
        <f t="shared" si="4"/>
        <v>106.84580784992055</v>
      </c>
      <c r="F37" s="273">
        <f t="shared" si="5"/>
        <v>1105.6541921500796</v>
      </c>
      <c r="G37" s="273">
        <f t="shared" si="6"/>
        <v>1212.5</v>
      </c>
      <c r="H37" s="273">
        <f t="shared" si="9"/>
        <v>7237.499268451331</v>
      </c>
      <c r="I37" s="273">
        <f t="shared" si="9"/>
        <v>32775.00073154867</v>
      </c>
      <c r="J37" s="273">
        <f t="shared" si="8"/>
        <v>17224.999268451345</v>
      </c>
      <c r="K37" s="268"/>
      <c r="L37" s="274">
        <f t="shared" si="0"/>
        <v>1121.6466234967622</v>
      </c>
      <c r="M37" s="275">
        <f t="shared" si="1"/>
        <v>1022.8068382516925</v>
      </c>
      <c r="N37" s="275">
        <f t="shared" si="2"/>
        <v>6695.188962489668</v>
      </c>
      <c r="O37" s="275">
        <f t="shared" si="3"/>
        <v>15934.319397272291</v>
      </c>
    </row>
    <row r="38" spans="1:15" ht="14.25" customHeight="1">
      <c r="A38" s="268"/>
      <c r="B38" s="268"/>
      <c r="C38" s="268"/>
      <c r="D38" s="268">
        <v>35</v>
      </c>
      <c r="E38" s="273">
        <f t="shared" si="4"/>
        <v>99.94468293391714</v>
      </c>
      <c r="F38" s="273">
        <f t="shared" si="5"/>
        <v>1112.5553170660828</v>
      </c>
      <c r="G38" s="273">
        <f t="shared" si="6"/>
        <v>1212.5</v>
      </c>
      <c r="H38" s="273">
        <f aca="true" t="shared" si="10" ref="H38:I53">H37+E38</f>
        <v>7337.443951385248</v>
      </c>
      <c r="I38" s="273">
        <f t="shared" si="10"/>
        <v>33887.55604861476</v>
      </c>
      <c r="J38" s="273">
        <f t="shared" si="8"/>
        <v>16112.443951385263</v>
      </c>
      <c r="K38" s="268"/>
      <c r="L38" s="274">
        <f t="shared" si="0"/>
        <v>1121.6466234967622</v>
      </c>
      <c r="M38" s="275">
        <f t="shared" si="1"/>
        <v>1029.1908576004466</v>
      </c>
      <c r="N38" s="275">
        <f t="shared" si="2"/>
        <v>6787.644728385983</v>
      </c>
      <c r="O38" s="275">
        <f t="shared" si="3"/>
        <v>14905.128539671845</v>
      </c>
    </row>
    <row r="39" spans="1:15" ht="14.25" customHeight="1">
      <c r="A39" s="268"/>
      <c r="B39" s="268"/>
      <c r="C39" s="268"/>
      <c r="D39" s="268">
        <v>36</v>
      </c>
      <c r="E39" s="273">
        <f t="shared" si="4"/>
        <v>93.000483496563</v>
      </c>
      <c r="F39" s="273">
        <f t="shared" si="5"/>
        <v>1119.499516503437</v>
      </c>
      <c r="G39" s="273">
        <f t="shared" si="6"/>
        <v>1212.5</v>
      </c>
      <c r="H39" s="273">
        <f t="shared" si="10"/>
        <v>7430.444434881811</v>
      </c>
      <c r="I39" s="273">
        <f t="shared" si="10"/>
        <v>35007.05556511819</v>
      </c>
      <c r="J39" s="273">
        <f t="shared" si="8"/>
        <v>14992.944434881825</v>
      </c>
      <c r="K39" s="268"/>
      <c r="L39" s="274">
        <f t="shared" si="0"/>
        <v>1121.6466234967622</v>
      </c>
      <c r="M39" s="275">
        <f t="shared" si="1"/>
        <v>1035.6147238699696</v>
      </c>
      <c r="N39" s="275">
        <f t="shared" si="2"/>
        <v>6873.676628012776</v>
      </c>
      <c r="O39" s="275">
        <f t="shared" si="3"/>
        <v>13869.513815801874</v>
      </c>
    </row>
    <row r="40" spans="1:15" ht="14.25" customHeight="1">
      <c r="A40" s="268"/>
      <c r="B40" s="268"/>
      <c r="C40" s="268"/>
      <c r="D40" s="268">
        <v>37</v>
      </c>
      <c r="E40" s="273">
        <f t="shared" si="4"/>
        <v>86.01294068105405</v>
      </c>
      <c r="F40" s="273">
        <f t="shared" si="5"/>
        <v>1126.487059318946</v>
      </c>
      <c r="G40" s="273">
        <f t="shared" si="6"/>
        <v>1212.5</v>
      </c>
      <c r="H40" s="273">
        <f t="shared" si="10"/>
        <v>7516.457375562864</v>
      </c>
      <c r="I40" s="273">
        <f t="shared" si="10"/>
        <v>36133.54262443714</v>
      </c>
      <c r="J40" s="273">
        <f t="shared" si="8"/>
        <v>13866.457375562879</v>
      </c>
      <c r="K40" s="268"/>
      <c r="L40" s="274">
        <f t="shared" si="0"/>
        <v>1121.6466234967622</v>
      </c>
      <c r="M40" s="275">
        <f t="shared" si="1"/>
        <v>1042.078685771458</v>
      </c>
      <c r="N40" s="275">
        <f t="shared" si="2"/>
        <v>6953.24456573808</v>
      </c>
      <c r="O40" s="275">
        <f t="shared" si="3"/>
        <v>12827.435130030415</v>
      </c>
    </row>
    <row r="41" spans="1:15" ht="14.25" customHeight="1">
      <c r="A41" s="268"/>
      <c r="B41" s="268"/>
      <c r="C41" s="268"/>
      <c r="D41" s="268">
        <v>38</v>
      </c>
      <c r="E41" s="273">
        <f t="shared" si="4"/>
        <v>78.98178395247163</v>
      </c>
      <c r="F41" s="273">
        <f t="shared" si="5"/>
        <v>1133.5182160475283</v>
      </c>
      <c r="G41" s="273">
        <f t="shared" si="6"/>
        <v>1212.5</v>
      </c>
      <c r="H41" s="273">
        <f t="shared" si="10"/>
        <v>7595.439159515336</v>
      </c>
      <c r="I41" s="273">
        <f t="shared" si="10"/>
        <v>37267.06084048467</v>
      </c>
      <c r="J41" s="273">
        <f t="shared" si="8"/>
        <v>12732.93915951535</v>
      </c>
      <c r="K41" s="268"/>
      <c r="L41" s="274">
        <f t="shared" si="0"/>
        <v>1121.6466234967622</v>
      </c>
      <c r="M41" s="275">
        <f t="shared" si="1"/>
        <v>1048.5829935684815</v>
      </c>
      <c r="N41" s="275">
        <f t="shared" si="2"/>
        <v>7026.308195666361</v>
      </c>
      <c r="O41" s="275">
        <f t="shared" si="3"/>
        <v>11778.852136461934</v>
      </c>
    </row>
    <row r="42" spans="1:15" ht="14.25" customHeight="1">
      <c r="A42" s="268"/>
      <c r="B42" s="268"/>
      <c r="C42" s="268"/>
      <c r="D42" s="268">
        <v>39</v>
      </c>
      <c r="E42" s="273">
        <f t="shared" si="4"/>
        <v>71.9067410873083</v>
      </c>
      <c r="F42" s="273">
        <f t="shared" si="5"/>
        <v>1140.5932589126917</v>
      </c>
      <c r="G42" s="273">
        <f t="shared" si="6"/>
        <v>1212.5</v>
      </c>
      <c r="H42" s="273">
        <f t="shared" si="10"/>
        <v>7667.345900602644</v>
      </c>
      <c r="I42" s="273">
        <f t="shared" si="10"/>
        <v>38407.65409939736</v>
      </c>
      <c r="J42" s="273">
        <f t="shared" si="8"/>
        <v>11592.345900602659</v>
      </c>
      <c r="K42" s="268"/>
      <c r="L42" s="274">
        <f t="shared" si="0"/>
        <v>1121.6466234967622</v>
      </c>
      <c r="M42" s="275">
        <f t="shared" si="1"/>
        <v>1055.1278990866713</v>
      </c>
      <c r="N42" s="275">
        <f t="shared" si="2"/>
        <v>7092.826920076452</v>
      </c>
      <c r="O42" s="275">
        <f t="shared" si="3"/>
        <v>10723.724237375263</v>
      </c>
    </row>
    <row r="43" spans="1:15" ht="14.25" customHeight="1">
      <c r="A43" s="268"/>
      <c r="B43" s="268"/>
      <c r="C43" s="268"/>
      <c r="D43" s="268">
        <v>40</v>
      </c>
      <c r="E43" s="273">
        <f t="shared" si="4"/>
        <v>64.78753816292826</v>
      </c>
      <c r="F43" s="273">
        <f t="shared" si="5"/>
        <v>1147.7124618370717</v>
      </c>
      <c r="G43" s="273">
        <f t="shared" si="6"/>
        <v>1212.5</v>
      </c>
      <c r="H43" s="273">
        <f t="shared" si="10"/>
        <v>7732.1334387655725</v>
      </c>
      <c r="I43" s="273">
        <f t="shared" si="10"/>
        <v>39555.366561234434</v>
      </c>
      <c r="J43" s="273">
        <f t="shared" si="8"/>
        <v>10444.633438765588</v>
      </c>
      <c r="K43" s="268"/>
      <c r="L43" s="274">
        <f t="shared" si="0"/>
        <v>1121.6466234967622</v>
      </c>
      <c r="M43" s="275">
        <f t="shared" si="1"/>
        <v>1061.7136557234705</v>
      </c>
      <c r="N43" s="275">
        <f t="shared" si="2"/>
        <v>7152.759887849744</v>
      </c>
      <c r="O43" s="275">
        <f t="shared" si="3"/>
        <v>9662.010581651793</v>
      </c>
    </row>
    <row r="44" spans="1:15" ht="14.25" customHeight="1">
      <c r="A44" s="268"/>
      <c r="B44" s="268"/>
      <c r="C44" s="268"/>
      <c r="D44" s="268">
        <v>41</v>
      </c>
      <c r="E44" s="273">
        <f t="shared" si="4"/>
        <v>57.62389954696187</v>
      </c>
      <c r="F44" s="273">
        <f t="shared" si="5"/>
        <v>1154.8761004530381</v>
      </c>
      <c r="G44" s="273">
        <f t="shared" si="6"/>
        <v>1212.5</v>
      </c>
      <c r="H44" s="273">
        <f t="shared" si="10"/>
        <v>7789.757338312535</v>
      </c>
      <c r="I44" s="273">
        <f t="shared" si="10"/>
        <v>40710.24266168747</v>
      </c>
      <c r="J44" s="273">
        <f t="shared" si="8"/>
        <v>9289.75733831255</v>
      </c>
      <c r="K44" s="268"/>
      <c r="L44" s="274">
        <f t="shared" si="0"/>
        <v>1121.6466234967622</v>
      </c>
      <c r="M44" s="275">
        <f t="shared" si="1"/>
        <v>1068.3405184579447</v>
      </c>
      <c r="N44" s="275">
        <f t="shared" si="2"/>
        <v>7206.065992888562</v>
      </c>
      <c r="O44" s="275">
        <f t="shared" si="3"/>
        <v>8593.670063193847</v>
      </c>
    </row>
    <row r="45" spans="1:15" ht="14.25" customHeight="1">
      <c r="A45" s="268"/>
      <c r="B45" s="268"/>
      <c r="C45" s="268"/>
      <c r="D45" s="268">
        <v>42</v>
      </c>
      <c r="E45" s="273">
        <f t="shared" si="4"/>
        <v>50.41554788663416</v>
      </c>
      <c r="F45" s="273">
        <f t="shared" si="5"/>
        <v>1162.0844521133658</v>
      </c>
      <c r="G45" s="273">
        <f t="shared" si="6"/>
        <v>1212.5</v>
      </c>
      <c r="H45" s="273">
        <f t="shared" si="10"/>
        <v>7840.172886199169</v>
      </c>
      <c r="I45" s="273">
        <f t="shared" si="10"/>
        <v>41872.32711380084</v>
      </c>
      <c r="J45" s="273">
        <f t="shared" si="8"/>
        <v>8127.672886199183</v>
      </c>
      <c r="K45" s="268"/>
      <c r="L45" s="274">
        <f t="shared" si="0"/>
        <v>1121.6466234967622</v>
      </c>
      <c r="M45" s="275">
        <f t="shared" si="1"/>
        <v>1075.0087438606529</v>
      </c>
      <c r="N45" s="275">
        <f t="shared" si="2"/>
        <v>7252.70387252467</v>
      </c>
      <c r="O45" s="275">
        <f t="shared" si="3"/>
        <v>7518.661319333195</v>
      </c>
    </row>
    <row r="46" spans="1:15" ht="14.25" customHeight="1">
      <c r="A46" s="268"/>
      <c r="B46" s="268"/>
      <c r="C46" s="268"/>
      <c r="D46" s="268">
        <v>43</v>
      </c>
      <c r="E46" s="273">
        <f t="shared" si="4"/>
        <v>43.162204098026564</v>
      </c>
      <c r="F46" s="273">
        <f t="shared" si="5"/>
        <v>1169.3377959019735</v>
      </c>
      <c r="G46" s="273">
        <f t="shared" si="6"/>
        <v>1212.5</v>
      </c>
      <c r="H46" s="273">
        <f t="shared" si="10"/>
        <v>7883.335090297195</v>
      </c>
      <c r="I46" s="273">
        <f t="shared" si="10"/>
        <v>43041.66490970281</v>
      </c>
      <c r="J46" s="273">
        <f t="shared" si="8"/>
        <v>6958.33509029721</v>
      </c>
      <c r="K46" s="268"/>
      <c r="L46" s="274">
        <f t="shared" si="0"/>
        <v>1121.6466234967622</v>
      </c>
      <c r="M46" s="275">
        <f t="shared" si="1"/>
        <v>1081.7185901035834</v>
      </c>
      <c r="N46" s="275">
        <f t="shared" si="2"/>
        <v>7292.6319059178495</v>
      </c>
      <c r="O46" s="275">
        <f t="shared" si="3"/>
        <v>6436.942729229611</v>
      </c>
    </row>
    <row r="47" spans="1:15" ht="14.25" customHeight="1">
      <c r="A47" s="268"/>
      <c r="B47" s="268"/>
      <c r="C47" s="268"/>
      <c r="D47" s="268">
        <v>44</v>
      </c>
      <c r="E47" s="273">
        <f t="shared" si="4"/>
        <v>35.86358735527175</v>
      </c>
      <c r="F47" s="273">
        <f t="shared" si="5"/>
        <v>1176.6364126447284</v>
      </c>
      <c r="G47" s="273">
        <f t="shared" si="6"/>
        <v>1212.5</v>
      </c>
      <c r="H47" s="273">
        <f t="shared" si="10"/>
        <v>7919.198677652467</v>
      </c>
      <c r="I47" s="273">
        <f t="shared" si="10"/>
        <v>44218.30132234754</v>
      </c>
      <c r="J47" s="273">
        <f t="shared" si="8"/>
        <v>5781.698677652481</v>
      </c>
      <c r="K47" s="268"/>
      <c r="L47" s="274">
        <f t="shared" si="0"/>
        <v>1121.6466234967622</v>
      </c>
      <c r="M47" s="275">
        <f t="shared" si="1"/>
        <v>1088.4703169701465</v>
      </c>
      <c r="N47" s="275">
        <f t="shared" si="2"/>
        <v>7325.808212444465</v>
      </c>
      <c r="O47" s="275">
        <f t="shared" si="3"/>
        <v>5348.472412259464</v>
      </c>
    </row>
    <row r="48" spans="1:15" ht="14.25" customHeight="1">
      <c r="A48" s="268"/>
      <c r="B48" s="268"/>
      <c r="C48" s="268"/>
      <c r="D48" s="268">
        <v>45</v>
      </c>
      <c r="E48" s="273">
        <f t="shared" si="4"/>
        <v>28.5194150796809</v>
      </c>
      <c r="F48" s="273">
        <f t="shared" si="5"/>
        <v>1183.9805849203192</v>
      </c>
      <c r="G48" s="273">
        <f t="shared" si="6"/>
        <v>1212.5</v>
      </c>
      <c r="H48" s="273">
        <f t="shared" si="10"/>
        <v>7947.718092732148</v>
      </c>
      <c r="I48" s="273">
        <f t="shared" si="10"/>
        <v>45402.28190726786</v>
      </c>
      <c r="J48" s="273">
        <f t="shared" si="8"/>
        <v>4597.7180927321615</v>
      </c>
      <c r="K48" s="268"/>
      <c r="L48" s="274">
        <f t="shared" si="0"/>
        <v>1121.6466234967622</v>
      </c>
      <c r="M48" s="275">
        <f t="shared" si="1"/>
        <v>1095.2641858652353</v>
      </c>
      <c r="N48" s="275">
        <f t="shared" si="2"/>
        <v>7352.190650075992</v>
      </c>
      <c r="O48" s="275">
        <f t="shared" si="3"/>
        <v>4253.208226394229</v>
      </c>
    </row>
    <row r="49" spans="1:15" ht="14.25" customHeight="1">
      <c r="A49" s="268"/>
      <c r="B49" s="268"/>
      <c r="C49" s="268"/>
      <c r="D49" s="268">
        <v>46</v>
      </c>
      <c r="E49" s="273">
        <f t="shared" si="4"/>
        <v>21.129402928803238</v>
      </c>
      <c r="F49" s="273">
        <f t="shared" si="5"/>
        <v>1191.3705970711967</v>
      </c>
      <c r="G49" s="273">
        <f t="shared" si="6"/>
        <v>1212.5</v>
      </c>
      <c r="H49" s="273">
        <f t="shared" si="10"/>
        <v>7968.847495660951</v>
      </c>
      <c r="I49" s="273">
        <f t="shared" si="10"/>
        <v>46593.65250433906</v>
      </c>
      <c r="J49" s="273">
        <f t="shared" si="8"/>
        <v>3406.347495660965</v>
      </c>
      <c r="K49" s="268"/>
      <c r="L49" s="274">
        <f t="shared" si="0"/>
        <v>1121.6466234967622</v>
      </c>
      <c r="M49" s="275">
        <f t="shared" si="1"/>
        <v>1102.100459825344</v>
      </c>
      <c r="N49" s="275">
        <f t="shared" si="2"/>
        <v>7371.73681374741</v>
      </c>
      <c r="O49" s="275">
        <f t="shared" si="3"/>
        <v>3151.1077665688854</v>
      </c>
    </row>
    <row r="50" spans="1:15" ht="14.25" customHeight="1">
      <c r="A50" s="268"/>
      <c r="B50" s="268"/>
      <c r="C50" s="268"/>
      <c r="D50" s="268">
        <v>47</v>
      </c>
      <c r="E50" s="273">
        <f t="shared" si="4"/>
        <v>13.693264785417187</v>
      </c>
      <c r="F50" s="273">
        <f t="shared" si="5"/>
        <v>1198.806735214583</v>
      </c>
      <c r="G50" s="273">
        <f t="shared" si="6"/>
        <v>1212.5</v>
      </c>
      <c r="H50" s="273">
        <f t="shared" si="10"/>
        <v>7982.540760446368</v>
      </c>
      <c r="I50" s="273">
        <f t="shared" si="10"/>
        <v>47792.45923955364</v>
      </c>
      <c r="J50" s="273">
        <f t="shared" si="8"/>
        <v>2207.5407604463817</v>
      </c>
      <c r="K50" s="268"/>
      <c r="L50" s="274">
        <f t="shared" si="0"/>
        <v>1121.6466234967622</v>
      </c>
      <c r="M50" s="275">
        <f t="shared" si="1"/>
        <v>1108.979403528754</v>
      </c>
      <c r="N50" s="275">
        <f t="shared" si="2"/>
        <v>7384.404033715419</v>
      </c>
      <c r="O50" s="275">
        <f t="shared" si="3"/>
        <v>2042.128363040131</v>
      </c>
    </row>
    <row r="51" spans="1:15" ht="14.25" customHeight="1">
      <c r="A51" s="268"/>
      <c r="B51" s="268"/>
      <c r="C51" s="268"/>
      <c r="D51" s="268">
        <v>48</v>
      </c>
      <c r="E51" s="273">
        <f t="shared" si="4"/>
        <v>6.210712746452832</v>
      </c>
      <c r="F51" s="273">
        <f t="shared" si="5"/>
        <v>1206.2892872535472</v>
      </c>
      <c r="G51" s="273">
        <f t="shared" si="6"/>
        <v>1212.5</v>
      </c>
      <c r="H51" s="273">
        <f t="shared" si="10"/>
        <v>7988.751473192821</v>
      </c>
      <c r="I51" s="273">
        <f t="shared" si="10"/>
        <v>48998.74852680718</v>
      </c>
      <c r="J51" s="273">
        <f t="shared" si="8"/>
        <v>1001.2514731928345</v>
      </c>
      <c r="K51" s="268"/>
      <c r="L51" s="274">
        <f t="shared" si="0"/>
        <v>1121.6466234967622</v>
      </c>
      <c r="M51" s="275">
        <f t="shared" si="1"/>
        <v>1115.901283305779</v>
      </c>
      <c r="N51" s="275">
        <f t="shared" si="2"/>
        <v>7390.149373906403</v>
      </c>
      <c r="O51" s="275">
        <f t="shared" si="3"/>
        <v>926.2270797343521</v>
      </c>
    </row>
    <row r="52" spans="1:15" ht="14.25" customHeight="1">
      <c r="A52" s="268"/>
      <c r="B52" s="268"/>
      <c r="C52" s="268"/>
      <c r="D52" s="268">
        <v>49</v>
      </c>
      <c r="E52" s="273">
        <f t="shared" si="4"/>
        <v>-1.3185428881547245</v>
      </c>
      <c r="F52" s="273">
        <f t="shared" si="5"/>
        <v>1213.8185428881548</v>
      </c>
      <c r="G52" s="273">
        <f t="shared" si="6"/>
        <v>1212.5</v>
      </c>
      <c r="H52" s="273">
        <f t="shared" si="10"/>
        <v>7987.432930304667</v>
      </c>
      <c r="I52" s="273">
        <f t="shared" si="10"/>
        <v>50212.56706969534</v>
      </c>
      <c r="J52" s="273">
        <f t="shared" si="8"/>
        <v>-212.56706969532024</v>
      </c>
      <c r="K52" s="268"/>
      <c r="L52" s="274">
        <f t="shared" si="0"/>
        <v>1121.6466234967622</v>
      </c>
      <c r="M52" s="275">
        <f t="shared" si="1"/>
        <v>1122.8663671490795</v>
      </c>
      <c r="N52" s="275">
        <f t="shared" si="2"/>
        <v>7388.929630254086</v>
      </c>
      <c r="O52" s="275">
        <f t="shared" si="3"/>
        <v>-196.63928741472733</v>
      </c>
    </row>
    <row r="53" spans="1:15" ht="14.25" customHeight="1">
      <c r="A53" s="268"/>
      <c r="B53" s="268"/>
      <c r="C53" s="268"/>
      <c r="D53" s="268">
        <v>50</v>
      </c>
      <c r="E53" s="273">
        <f t="shared" si="4"/>
        <v>-8.894793626681622</v>
      </c>
      <c r="F53" s="273">
        <f t="shared" si="5"/>
        <v>1221.3947936266816</v>
      </c>
      <c r="G53" s="273">
        <f t="shared" si="6"/>
        <v>1212.5</v>
      </c>
      <c r="H53" s="273">
        <f t="shared" si="10"/>
        <v>7978.538136677986</v>
      </c>
      <c r="I53" s="273">
        <f t="shared" si="10"/>
        <v>51433.96186332202</v>
      </c>
      <c r="J53" s="273">
        <f t="shared" si="8"/>
        <v>-1433.9618633220018</v>
      </c>
      <c r="K53" s="268"/>
      <c r="L53" s="274">
        <f t="shared" si="0"/>
        <v>1121.6466234967622</v>
      </c>
      <c r="M53" s="275">
        <f t="shared" si="1"/>
        <v>1129.8749247240348</v>
      </c>
      <c r="N53" s="275">
        <f t="shared" si="2"/>
        <v>7380.701329026814</v>
      </c>
      <c r="O53" s="275">
        <f t="shared" si="3"/>
        <v>-1326.514212138762</v>
      </c>
    </row>
    <row r="54" spans="1:15" ht="14.25" customHeight="1">
      <c r="A54" s="268"/>
      <c r="B54" s="268"/>
      <c r="C54" s="268"/>
      <c r="D54" s="268">
        <v>51</v>
      </c>
      <c r="E54" s="273">
        <f t="shared" si="4"/>
        <v>-16.518332796901493</v>
      </c>
      <c r="F54" s="273">
        <f t="shared" si="5"/>
        <v>1229.0183327969014</v>
      </c>
      <c r="G54" s="273">
        <f t="shared" si="6"/>
        <v>1212.5</v>
      </c>
      <c r="H54" s="273">
        <f aca="true" t="shared" si="11" ref="H54:I64">H53+E54</f>
        <v>7962.019803881084</v>
      </c>
      <c r="I54" s="273">
        <f t="shared" si="11"/>
        <v>52662.98019611892</v>
      </c>
      <c r="J54" s="273">
        <f t="shared" si="8"/>
        <v>-2662.980196118903</v>
      </c>
      <c r="K54" s="268"/>
      <c r="L54" s="274">
        <f t="shared" si="0"/>
        <v>1121.6466234967622</v>
      </c>
      <c r="M54" s="275">
        <f t="shared" si="1"/>
        <v>1136.9272273791873</v>
      </c>
      <c r="N54" s="275">
        <f t="shared" si="2"/>
        <v>7365.420725144389</v>
      </c>
      <c r="O54" s="275">
        <f t="shared" si="3"/>
        <v>-2463.441439517949</v>
      </c>
    </row>
    <row r="55" spans="1:15" ht="14.25" customHeight="1">
      <c r="A55" s="268"/>
      <c r="B55" s="268"/>
      <c r="C55" s="268"/>
      <c r="D55" s="268">
        <v>52</v>
      </c>
      <c r="E55" s="273">
        <f t="shared" si="4"/>
        <v>-24.18945555744215</v>
      </c>
      <c r="F55" s="273">
        <f t="shared" si="5"/>
        <v>1236.6894555574422</v>
      </c>
      <c r="G55" s="273">
        <f t="shared" si="6"/>
        <v>1212.5</v>
      </c>
      <c r="H55" s="273">
        <f t="shared" si="11"/>
        <v>7937.830348323642</v>
      </c>
      <c r="I55" s="273">
        <f t="shared" si="11"/>
        <v>53899.66965167636</v>
      </c>
      <c r="J55" s="273">
        <f t="shared" si="8"/>
        <v>-3899.6696516763454</v>
      </c>
      <c r="K55" s="268"/>
      <c r="L55" s="274">
        <f t="shared" si="0"/>
        <v>1121.6466234967622</v>
      </c>
      <c r="M55" s="275">
        <f t="shared" si="1"/>
        <v>1144.0235481567458</v>
      </c>
      <c r="N55" s="275">
        <f t="shared" si="2"/>
        <v>7343.043800484405</v>
      </c>
      <c r="O55" s="275">
        <f t="shared" si="3"/>
        <v>-3607.4649876746953</v>
      </c>
    </row>
    <row r="56" spans="1:15" ht="14.25" customHeight="1">
      <c r="A56" s="268"/>
      <c r="B56" s="268"/>
      <c r="C56" s="268"/>
      <c r="D56" s="268">
        <v>53</v>
      </c>
      <c r="E56" s="273">
        <f t="shared" si="4"/>
        <v>-31.908458909213188</v>
      </c>
      <c r="F56" s="273">
        <f t="shared" si="5"/>
        <v>1244.408458909213</v>
      </c>
      <c r="G56" s="273">
        <f t="shared" si="6"/>
        <v>1212.5</v>
      </c>
      <c r="H56" s="273">
        <f t="shared" si="11"/>
        <v>7905.921889414429</v>
      </c>
      <c r="I56" s="273">
        <f t="shared" si="11"/>
        <v>55144.07811058558</v>
      </c>
      <c r="J56" s="273">
        <f t="shared" si="8"/>
        <v>-5144.0781105855585</v>
      </c>
      <c r="K56" s="268"/>
      <c r="L56" s="274">
        <f t="shared" si="0"/>
        <v>1121.6466234967622</v>
      </c>
      <c r="M56" s="275">
        <f t="shared" si="1"/>
        <v>1151.1641618031574</v>
      </c>
      <c r="N56" s="275">
        <f t="shared" si="2"/>
        <v>7313.52626217801</v>
      </c>
      <c r="O56" s="275">
        <f t="shared" si="3"/>
        <v>-4758.6291494778525</v>
      </c>
    </row>
    <row r="57" spans="1:15" ht="14.25" customHeight="1">
      <c r="A57" s="268"/>
      <c r="B57" s="268"/>
      <c r="C57" s="268"/>
      <c r="D57" s="268">
        <v>54</v>
      </c>
      <c r="E57" s="273">
        <f t="shared" si="4"/>
        <v>-39.675641706904855</v>
      </c>
      <c r="F57" s="273">
        <f t="shared" si="5"/>
        <v>1252.1756417069048</v>
      </c>
      <c r="G57" s="273">
        <f t="shared" si="6"/>
        <v>1212.5</v>
      </c>
      <c r="H57" s="273">
        <f t="shared" si="11"/>
        <v>7866.246247707524</v>
      </c>
      <c r="I57" s="273">
        <f t="shared" si="11"/>
        <v>56396.25375229248</v>
      </c>
      <c r="J57" s="273">
        <f t="shared" si="8"/>
        <v>-6396.253752292463</v>
      </c>
      <c r="K57" s="268"/>
      <c r="L57" s="274">
        <f t="shared" si="0"/>
        <v>1121.6466234967622</v>
      </c>
      <c r="M57" s="275">
        <f t="shared" si="1"/>
        <v>1158.3493447797455</v>
      </c>
      <c r="N57" s="275">
        <f t="shared" si="2"/>
        <v>7276.823540895028</v>
      </c>
      <c r="O57" s="275">
        <f t="shared" si="3"/>
        <v>-5916.978494257598</v>
      </c>
    </row>
    <row r="58" spans="4:15" ht="14.25">
      <c r="D58" s="268">
        <v>55</v>
      </c>
      <c r="E58" s="273">
        <f t="shared" si="4"/>
        <v>-47.49130467055878</v>
      </c>
      <c r="F58" s="273">
        <f t="shared" si="5"/>
        <v>1259.9913046705587</v>
      </c>
      <c r="G58" s="273">
        <f t="shared" si="6"/>
        <v>1212.5</v>
      </c>
      <c r="H58" s="273">
        <f t="shared" si="11"/>
        <v>7818.754943036965</v>
      </c>
      <c r="I58" s="273">
        <f t="shared" si="11"/>
        <v>57656.245056963045</v>
      </c>
      <c r="J58" s="273">
        <f t="shared" si="8"/>
        <v>-7656.245056963022</v>
      </c>
      <c r="K58" s="268"/>
      <c r="L58" s="274">
        <f t="shared" si="0"/>
        <v>1121.6466234967622</v>
      </c>
      <c r="M58" s="275">
        <f t="shared" si="1"/>
        <v>1165.5793752734123</v>
      </c>
      <c r="N58" s="275">
        <f t="shared" si="2"/>
        <v>7232.890789118377</v>
      </c>
      <c r="O58" s="275">
        <f t="shared" si="3"/>
        <v>-7082.5578695310105</v>
      </c>
    </row>
    <row r="59" spans="4:15" ht="14.25">
      <c r="D59" s="268">
        <v>56</v>
      </c>
      <c r="E59" s="273">
        <f t="shared" si="4"/>
        <v>-55.355750397210855</v>
      </c>
      <c r="F59" s="273">
        <f t="shared" si="5"/>
        <v>1267.8557503972108</v>
      </c>
      <c r="G59" s="273">
        <f t="shared" si="6"/>
        <v>1212.5</v>
      </c>
      <c r="H59" s="273">
        <f t="shared" si="11"/>
        <v>7763.399192639755</v>
      </c>
      <c r="I59" s="273">
        <f t="shared" si="11"/>
        <v>58924.10080736026</v>
      </c>
      <c r="J59" s="273">
        <f t="shared" si="8"/>
        <v>-8924.100807360233</v>
      </c>
      <c r="K59" s="268"/>
      <c r="L59" s="274">
        <f t="shared" si="0"/>
        <v>1121.6466234967622</v>
      </c>
      <c r="M59" s="275">
        <f t="shared" si="1"/>
        <v>1172.8545332074107</v>
      </c>
      <c r="N59" s="275">
        <f t="shared" si="2"/>
        <v>7181.682879407729</v>
      </c>
      <c r="O59" s="275">
        <f t="shared" si="3"/>
        <v>-8255.412402738422</v>
      </c>
    </row>
    <row r="60" spans="4:15" ht="14.25">
      <c r="D60" s="268">
        <v>57</v>
      </c>
      <c r="E60" s="273">
        <f t="shared" si="4"/>
        <v>-63.26928337260678</v>
      </c>
      <c r="F60" s="273">
        <f t="shared" si="5"/>
        <v>1275.7692833726069</v>
      </c>
      <c r="G60" s="273">
        <f t="shared" si="6"/>
        <v>1212.5</v>
      </c>
      <c r="H60" s="273">
        <f t="shared" si="11"/>
        <v>7700.129909267148</v>
      </c>
      <c r="I60" s="273">
        <f t="shared" si="11"/>
        <v>60199.87009073286</v>
      </c>
      <c r="J60" s="273">
        <f t="shared" si="8"/>
        <v>-10199.87009073284</v>
      </c>
      <c r="K60" s="268"/>
      <c r="L60" s="274">
        <f t="shared" si="0"/>
        <v>1121.6466234967622</v>
      </c>
      <c r="M60" s="275">
        <f t="shared" si="1"/>
        <v>1180.1751002521803</v>
      </c>
      <c r="N60" s="275">
        <f t="shared" si="2"/>
        <v>7123.154402652311</v>
      </c>
      <c r="O60" s="275">
        <f t="shared" si="3"/>
        <v>-9435.587502990602</v>
      </c>
    </row>
    <row r="61" spans="4:15" ht="14.25">
      <c r="D61" s="268">
        <v>58</v>
      </c>
      <c r="E61" s="273">
        <f t="shared" si="4"/>
        <v>-71.2322099829908</v>
      </c>
      <c r="F61" s="273">
        <f t="shared" si="5"/>
        <v>1283.7322099829908</v>
      </c>
      <c r="G61" s="273">
        <f t="shared" si="6"/>
        <v>1212.5</v>
      </c>
      <c r="H61" s="273">
        <f t="shared" si="11"/>
        <v>7628.897699284157</v>
      </c>
      <c r="I61" s="273">
        <f t="shared" si="11"/>
        <v>61483.60230071585</v>
      </c>
      <c r="J61" s="273">
        <f t="shared" si="8"/>
        <v>-11483.602300715831</v>
      </c>
      <c r="K61" s="268"/>
      <c r="L61" s="274">
        <f t="shared" si="0"/>
        <v>1121.6466234967622</v>
      </c>
      <c r="M61" s="275">
        <f t="shared" si="1"/>
        <v>1187.5413598362543</v>
      </c>
      <c r="N61" s="275">
        <f t="shared" si="2"/>
        <v>7057.259666312819</v>
      </c>
      <c r="O61" s="275">
        <f t="shared" si="3"/>
        <v>-10623.128862826856</v>
      </c>
    </row>
    <row r="62" spans="4:15" ht="14.25">
      <c r="D62" s="268">
        <v>59</v>
      </c>
      <c r="E62" s="273">
        <f t="shared" si="4"/>
        <v>-79.24483852696797</v>
      </c>
      <c r="F62" s="273">
        <f t="shared" si="5"/>
        <v>1291.744838526968</v>
      </c>
      <c r="G62" s="273">
        <f t="shared" si="6"/>
        <v>1212.5</v>
      </c>
      <c r="H62" s="273">
        <f t="shared" si="11"/>
        <v>7549.652860757189</v>
      </c>
      <c r="I62" s="273">
        <f t="shared" si="11"/>
        <v>62775.34713924282</v>
      </c>
      <c r="J62" s="273">
        <f t="shared" si="8"/>
        <v>-12775.347139242798</v>
      </c>
      <c r="K62" s="268"/>
      <c r="L62" s="274">
        <f t="shared" si="0"/>
        <v>1121.6466234967622</v>
      </c>
      <c r="M62" s="275">
        <f t="shared" si="1"/>
        <v>1194.9535971572323</v>
      </c>
      <c r="N62" s="275">
        <f t="shared" si="2"/>
        <v>6983.9526926523495</v>
      </c>
      <c r="O62" s="275">
        <f t="shared" si="3"/>
        <v>-11818.082459984087</v>
      </c>
    </row>
    <row r="63" spans="4:15" ht="14.25">
      <c r="D63" s="268">
        <v>60</v>
      </c>
      <c r="E63" s="273">
        <f t="shared" si="4"/>
        <v>-87.30747922744045</v>
      </c>
      <c r="F63" s="273">
        <f t="shared" si="5"/>
        <v>1299.8074792274404</v>
      </c>
      <c r="G63" s="273">
        <f t="shared" si="6"/>
        <v>1212.5</v>
      </c>
      <c r="H63" s="273">
        <f t="shared" si="11"/>
        <v>7462.345381529749</v>
      </c>
      <c r="I63" s="273">
        <f t="shared" si="11"/>
        <v>64075.15461847026</v>
      </c>
      <c r="J63" s="273">
        <f t="shared" si="8"/>
        <v>-14075.154618470238</v>
      </c>
      <c r="K63" s="268"/>
      <c r="L63" s="274">
        <f t="shared" si="0"/>
        <v>1121.6466234967622</v>
      </c>
      <c r="M63" s="275">
        <f t="shared" si="1"/>
        <v>1202.4120991928219</v>
      </c>
      <c r="N63" s="275">
        <f t="shared" si="2"/>
        <v>6903.187216956289</v>
      </c>
      <c r="O63" s="275">
        <f t="shared" si="3"/>
        <v>-13020.49455917691</v>
      </c>
    </row>
    <row r="64" spans="4:15" ht="14.25">
      <c r="D64" s="268">
        <v>61</v>
      </c>
      <c r="E64" s="273">
        <f t="shared" si="4"/>
        <v>-95.42044424361839</v>
      </c>
      <c r="F64" s="273">
        <f t="shared" si="5"/>
        <v>1307.9204442436185</v>
      </c>
      <c r="G64" s="273">
        <f t="shared" si="6"/>
        <v>1212.5</v>
      </c>
      <c r="H64" s="273">
        <f t="shared" si="11"/>
        <v>7366.92493728613</v>
      </c>
      <c r="I64" s="273">
        <f t="shared" si="11"/>
        <v>65383.07506271388</v>
      </c>
      <c r="J64" s="273">
        <f t="shared" si="8"/>
        <v>-15383.075062713857</v>
      </c>
      <c r="K64" s="268"/>
      <c r="L64" s="274">
        <f t="shared" si="0"/>
        <v>1121.6466234967622</v>
      </c>
      <c r="M64" s="275">
        <f t="shared" si="1"/>
        <v>1209.9171547119506</v>
      </c>
      <c r="N64" s="275">
        <f t="shared" si="2"/>
        <v>6814.916685741102</v>
      </c>
      <c r="O64" s="275">
        <f t="shared" si="3"/>
        <v>-14230.41171388886</v>
      </c>
    </row>
  </sheetData>
  <sheetProtection/>
  <mergeCells count="1">
    <mergeCell ref="L2:O2"/>
  </mergeCells>
  <conditionalFormatting sqref="D4:O64">
    <cfRule type="expression" priority="1" dxfId="0">
      <formula>$D4&gt;$B$9</formula>
    </cfRule>
  </conditionalFormatting>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3"/>
  <dimension ref="A1:O78"/>
  <sheetViews>
    <sheetView zoomScalePageLayoutView="0" workbookViewId="0" topLeftCell="A1">
      <selection activeCell="B26" sqref="B26"/>
    </sheetView>
  </sheetViews>
  <sheetFormatPr defaultColWidth="11.421875" defaultRowHeight="12.75"/>
  <cols>
    <col min="1" max="1" width="30.421875" style="269" bestFit="1" customWidth="1"/>
    <col min="2" max="3" width="11.421875" style="269" customWidth="1"/>
    <col min="4" max="4" width="6.8515625" style="269" bestFit="1" customWidth="1"/>
    <col min="5" max="5" width="9.7109375" style="269" bestFit="1" customWidth="1"/>
    <col min="6" max="6" width="12.57421875" style="269" bestFit="1" customWidth="1"/>
    <col min="7" max="7" width="8.00390625" style="269" bestFit="1" customWidth="1"/>
    <col min="8" max="8" width="10.7109375" style="269" bestFit="1" customWidth="1"/>
    <col min="9" max="9" width="12.7109375" style="269" bestFit="1" customWidth="1"/>
    <col min="10" max="10" width="9.7109375" style="269" bestFit="1" customWidth="1"/>
    <col min="11" max="11" width="9.00390625" style="269" bestFit="1" customWidth="1"/>
    <col min="12" max="12" width="10.57421875" style="269" bestFit="1" customWidth="1"/>
    <col min="13" max="13" width="7.57421875" style="269" bestFit="1" customWidth="1"/>
    <col min="14" max="14" width="8.00390625" style="269" bestFit="1" customWidth="1"/>
    <col min="15" max="15" width="9.00390625" style="269" bestFit="1" customWidth="1"/>
    <col min="16" max="16384" width="11.421875" style="269" customWidth="1"/>
  </cols>
  <sheetData>
    <row r="1" ht="14.25">
      <c r="A1" s="284" t="s">
        <v>113</v>
      </c>
    </row>
    <row r="2" spans="12:15" ht="14.25">
      <c r="L2" s="342" t="s">
        <v>114</v>
      </c>
      <c r="M2" s="342"/>
      <c r="N2" s="342"/>
      <c r="O2" s="342"/>
    </row>
    <row r="3" spans="1:15" ht="14.25">
      <c r="A3" s="269" t="s">
        <v>84</v>
      </c>
      <c r="B3" s="285">
        <f>LEASING!H9</f>
        <v>50000</v>
      </c>
      <c r="D3" s="286" t="s">
        <v>85</v>
      </c>
      <c r="E3" s="286" t="s">
        <v>86</v>
      </c>
      <c r="F3" s="286" t="s">
        <v>87</v>
      </c>
      <c r="G3" s="286" t="s">
        <v>88</v>
      </c>
      <c r="H3" s="286" t="s">
        <v>89</v>
      </c>
      <c r="I3" s="286" t="s">
        <v>90</v>
      </c>
      <c r="J3" s="286" t="s">
        <v>91</v>
      </c>
      <c r="L3" s="286" t="s">
        <v>37</v>
      </c>
      <c r="M3" s="286" t="s">
        <v>115</v>
      </c>
      <c r="N3" s="286" t="s">
        <v>36</v>
      </c>
      <c r="O3" s="271" t="s">
        <v>94</v>
      </c>
    </row>
    <row r="4" spans="1:15" ht="14.25">
      <c r="A4" s="269" t="s">
        <v>95</v>
      </c>
      <c r="B4" s="287"/>
      <c r="D4" s="268">
        <v>1</v>
      </c>
      <c r="E4" s="273">
        <f>(B7-B24)*B10/(100*12)</f>
        <v>304.69694499999997</v>
      </c>
      <c r="F4" s="273">
        <f aca="true" t="shared" si="0" ref="F4:F64">$B$24-E4</f>
        <v>878.7030550000002</v>
      </c>
      <c r="G4" s="273">
        <f>E4+F4</f>
        <v>1183.4</v>
      </c>
      <c r="H4" s="273">
        <f>E4</f>
        <v>304.69694499999997</v>
      </c>
      <c r="I4" s="273">
        <f>F4</f>
        <v>878.7030550000002</v>
      </c>
      <c r="J4" s="273">
        <f>B7-F4</f>
        <v>49121.296945</v>
      </c>
      <c r="K4" s="268"/>
      <c r="L4" s="274">
        <f aca="true" t="shared" si="1" ref="L4:L64">G4/(1+$B$31)</f>
        <v>1094.72710453284</v>
      </c>
      <c r="M4" s="275">
        <f aca="true" t="shared" si="2" ref="M4:M64">F4/(1+$B$31)</f>
        <v>812.8612904717855</v>
      </c>
      <c r="N4" s="275">
        <f aca="true" t="shared" si="3" ref="N4:N64">E4/(1+$B$31)</f>
        <v>281.86581406105455</v>
      </c>
      <c r="O4" s="275">
        <f aca="true" t="shared" si="4" ref="O4:O64">J4/(1+$B$31)</f>
        <v>45440.60771970398</v>
      </c>
    </row>
    <row r="5" spans="1:15" ht="14.25">
      <c r="A5" s="288" t="s">
        <v>96</v>
      </c>
      <c r="B5" s="289">
        <f>B3+B4</f>
        <v>50000</v>
      </c>
      <c r="D5" s="269">
        <v>2</v>
      </c>
      <c r="E5" s="287">
        <f aca="true" t="shared" si="5" ref="E5:E64">(J4-$B$24)*$B$10/(100*12)</f>
        <v>299.21237343170833</v>
      </c>
      <c r="F5" s="287">
        <f t="shared" si="0"/>
        <v>884.1876265682918</v>
      </c>
      <c r="G5" s="287">
        <f>E5+F5</f>
        <v>1183.4</v>
      </c>
      <c r="H5" s="287">
        <f>H4+E5</f>
        <v>603.9093184317082</v>
      </c>
      <c r="I5" s="287">
        <f>I4+F5</f>
        <v>1762.890681568292</v>
      </c>
      <c r="J5" s="287">
        <f>J4-F5</f>
        <v>48237.10931843171</v>
      </c>
      <c r="L5" s="274">
        <f t="shared" si="1"/>
        <v>1094.72710453284</v>
      </c>
      <c r="M5" s="274">
        <f t="shared" si="2"/>
        <v>817.9348996931469</v>
      </c>
      <c r="N5" s="274">
        <f t="shared" si="3"/>
        <v>276.79220483969317</v>
      </c>
      <c r="O5" s="275">
        <f t="shared" si="4"/>
        <v>44622.672820010834</v>
      </c>
    </row>
    <row r="6" spans="1:15" ht="14.25">
      <c r="A6" s="269" t="s">
        <v>97</v>
      </c>
      <c r="B6" s="287"/>
      <c r="D6" s="269">
        <v>3</v>
      </c>
      <c r="E6" s="287">
        <f t="shared" si="5"/>
        <v>293.69356899587785</v>
      </c>
      <c r="F6" s="287">
        <f t="shared" si="0"/>
        <v>889.7064310041222</v>
      </c>
      <c r="G6" s="287">
        <f aca="true" t="shared" si="6" ref="G6:G64">E6+F6</f>
        <v>1183.4</v>
      </c>
      <c r="H6" s="287">
        <f aca="true" t="shared" si="7" ref="H6:I21">H5+E6</f>
        <v>897.6028874275861</v>
      </c>
      <c r="I6" s="287">
        <f t="shared" si="7"/>
        <v>2652.597112572414</v>
      </c>
      <c r="J6" s="287">
        <f aca="true" t="shared" si="8" ref="J6:J64">J5-F6</f>
        <v>47347.40288742758</v>
      </c>
      <c r="L6" s="274">
        <f t="shared" si="1"/>
        <v>1094.72710453284</v>
      </c>
      <c r="M6" s="274">
        <f t="shared" si="2"/>
        <v>823.040176692065</v>
      </c>
      <c r="N6" s="274">
        <f t="shared" si="3"/>
        <v>271.68692784077507</v>
      </c>
      <c r="O6" s="275">
        <f t="shared" si="4"/>
        <v>43799.632643318764</v>
      </c>
    </row>
    <row r="7" spans="1:15" ht="14.25">
      <c r="A7" s="288" t="s">
        <v>98</v>
      </c>
      <c r="B7" s="289">
        <f>B5-B6</f>
        <v>50000</v>
      </c>
      <c r="C7" s="287"/>
      <c r="D7" s="269">
        <v>4</v>
      </c>
      <c r="E7" s="287">
        <f t="shared" si="5"/>
        <v>288.1403180223604</v>
      </c>
      <c r="F7" s="287">
        <f t="shared" si="0"/>
        <v>895.2596819776397</v>
      </c>
      <c r="G7" s="287">
        <f t="shared" si="6"/>
        <v>1183.4</v>
      </c>
      <c r="H7" s="287">
        <f t="shared" si="7"/>
        <v>1185.7432054499466</v>
      </c>
      <c r="I7" s="287">
        <f t="shared" si="7"/>
        <v>3547.8567945500536</v>
      </c>
      <c r="J7" s="287">
        <f t="shared" si="8"/>
        <v>46452.143205449946</v>
      </c>
      <c r="L7" s="274">
        <f t="shared" si="1"/>
        <v>1094.72710453284</v>
      </c>
      <c r="M7" s="274">
        <f t="shared" si="2"/>
        <v>828.1773191282514</v>
      </c>
      <c r="N7" s="274">
        <f t="shared" si="3"/>
        <v>266.54978540458876</v>
      </c>
      <c r="O7" s="275">
        <f t="shared" si="4"/>
        <v>42971.455324190516</v>
      </c>
    </row>
    <row r="8" spans="1:15" ht="14.25">
      <c r="A8" s="284"/>
      <c r="B8" s="290"/>
      <c r="C8" s="287"/>
      <c r="D8" s="269">
        <v>5</v>
      </c>
      <c r="E8" s="287">
        <f t="shared" si="5"/>
        <v>282.55240550735004</v>
      </c>
      <c r="F8" s="287">
        <f t="shared" si="0"/>
        <v>900.84759449265</v>
      </c>
      <c r="G8" s="287">
        <f t="shared" si="6"/>
        <v>1183.4</v>
      </c>
      <c r="H8" s="287">
        <f t="shared" si="7"/>
        <v>1468.2956109572965</v>
      </c>
      <c r="I8" s="287">
        <f t="shared" si="7"/>
        <v>4448.704389042704</v>
      </c>
      <c r="J8" s="287">
        <f t="shared" si="8"/>
        <v>45551.2956109573</v>
      </c>
      <c r="L8" s="274">
        <f t="shared" si="1"/>
        <v>1094.72710453284</v>
      </c>
      <c r="M8" s="274">
        <f t="shared" si="2"/>
        <v>833.3465258951435</v>
      </c>
      <c r="N8" s="274">
        <f t="shared" si="3"/>
        <v>261.3805786376966</v>
      </c>
      <c r="O8" s="275">
        <f t="shared" si="4"/>
        <v>42138.108798295376</v>
      </c>
    </row>
    <row r="9" spans="1:15" ht="14.25">
      <c r="A9" s="269" t="s">
        <v>99</v>
      </c>
      <c r="B9" s="285">
        <f>LEASING!H13</f>
        <v>48</v>
      </c>
      <c r="D9" s="269">
        <v>6</v>
      </c>
      <c r="E9" s="287">
        <f t="shared" si="5"/>
        <v>276.9296151050584</v>
      </c>
      <c r="F9" s="287">
        <f t="shared" si="0"/>
        <v>906.4703848949416</v>
      </c>
      <c r="G9" s="287">
        <f t="shared" si="6"/>
        <v>1183.4</v>
      </c>
      <c r="H9" s="287">
        <f t="shared" si="7"/>
        <v>1745.225226062355</v>
      </c>
      <c r="I9" s="287">
        <f t="shared" si="7"/>
        <v>5355.174773937646</v>
      </c>
      <c r="J9" s="287">
        <f t="shared" si="8"/>
        <v>44644.825226062356</v>
      </c>
      <c r="L9" s="274">
        <f t="shared" si="1"/>
        <v>1094.72710453284</v>
      </c>
      <c r="M9" s="274">
        <f t="shared" si="2"/>
        <v>838.5479971276056</v>
      </c>
      <c r="N9" s="274">
        <f t="shared" si="3"/>
        <v>256.17910740523445</v>
      </c>
      <c r="O9" s="275">
        <f t="shared" si="4"/>
        <v>41299.56080116777</v>
      </c>
    </row>
    <row r="10" spans="1:15" ht="14.25">
      <c r="A10" s="269" t="s">
        <v>100</v>
      </c>
      <c r="B10" s="285">
        <f>LEASING!H11*100</f>
        <v>7.489999999999999</v>
      </c>
      <c r="C10" s="287"/>
      <c r="D10" s="269">
        <v>7</v>
      </c>
      <c r="E10" s="287">
        <f t="shared" si="5"/>
        <v>271.27172911933917</v>
      </c>
      <c r="F10" s="287">
        <f t="shared" si="0"/>
        <v>912.1282708806609</v>
      </c>
      <c r="G10" s="287">
        <f t="shared" si="6"/>
        <v>1183.4</v>
      </c>
      <c r="H10" s="287">
        <f t="shared" si="7"/>
        <v>2016.4969551816941</v>
      </c>
      <c r="I10" s="287">
        <f t="shared" si="7"/>
        <v>6267.303044818307</v>
      </c>
      <c r="J10" s="287">
        <f t="shared" si="8"/>
        <v>43732.696955181695</v>
      </c>
      <c r="L10" s="274">
        <f t="shared" si="1"/>
        <v>1094.72710453284</v>
      </c>
      <c r="M10" s="274">
        <f t="shared" si="2"/>
        <v>843.7819342096772</v>
      </c>
      <c r="N10" s="274">
        <f t="shared" si="3"/>
        <v>250.94517032316298</v>
      </c>
      <c r="O10" s="275">
        <f t="shared" si="4"/>
        <v>40455.77886695809</v>
      </c>
    </row>
    <row r="11" spans="2:15" ht="14.25">
      <c r="B11" s="287"/>
      <c r="C11" s="287"/>
      <c r="D11" s="269">
        <v>8</v>
      </c>
      <c r="E11" s="287">
        <f t="shared" si="5"/>
        <v>265.57852849525904</v>
      </c>
      <c r="F11" s="287">
        <f t="shared" si="0"/>
        <v>917.8214715047411</v>
      </c>
      <c r="G11" s="287">
        <f t="shared" si="6"/>
        <v>1183.4</v>
      </c>
      <c r="H11" s="287">
        <f t="shared" si="7"/>
        <v>2282.0754836769534</v>
      </c>
      <c r="I11" s="287">
        <f t="shared" si="7"/>
        <v>7185.124516323049</v>
      </c>
      <c r="J11" s="287">
        <f t="shared" si="8"/>
        <v>42814.87548367695</v>
      </c>
      <c r="L11" s="274">
        <f t="shared" si="1"/>
        <v>1094.72710453284</v>
      </c>
      <c r="M11" s="274">
        <f t="shared" si="2"/>
        <v>849.0485397823693</v>
      </c>
      <c r="N11" s="274">
        <f t="shared" si="3"/>
        <v>245.6785647504709</v>
      </c>
      <c r="O11" s="275">
        <f t="shared" si="4"/>
        <v>39606.73032717572</v>
      </c>
    </row>
    <row r="12" spans="1:15" ht="14.25">
      <c r="A12" s="269" t="s">
        <v>101</v>
      </c>
      <c r="B12" s="287">
        <v>0</v>
      </c>
      <c r="C12" s="287"/>
      <c r="D12" s="269">
        <v>9</v>
      </c>
      <c r="E12" s="287">
        <f t="shared" si="5"/>
        <v>259.8497928106169</v>
      </c>
      <c r="F12" s="287">
        <f t="shared" si="0"/>
        <v>923.5502071893832</v>
      </c>
      <c r="G12" s="287">
        <f t="shared" si="6"/>
        <v>1183.4</v>
      </c>
      <c r="H12" s="287">
        <f t="shared" si="7"/>
        <v>2541.92527648757</v>
      </c>
      <c r="I12" s="287">
        <f t="shared" si="7"/>
        <v>8108.674723512432</v>
      </c>
      <c r="J12" s="287">
        <f t="shared" si="8"/>
        <v>41891.325276487565</v>
      </c>
      <c r="L12" s="274">
        <f t="shared" si="1"/>
        <v>1094.72710453284</v>
      </c>
      <c r="M12" s="274">
        <f t="shared" si="2"/>
        <v>854.3480177515108</v>
      </c>
      <c r="N12" s="274">
        <f t="shared" si="3"/>
        <v>240.37908678132925</v>
      </c>
      <c r="O12" s="275">
        <f t="shared" si="4"/>
        <v>38752.3823094242</v>
      </c>
    </row>
    <row r="13" spans="1:15" ht="14.25">
      <c r="A13" s="269" t="s">
        <v>102</v>
      </c>
      <c r="B13" s="287">
        <v>0</v>
      </c>
      <c r="C13" s="287"/>
      <c r="D13" s="269">
        <v>10</v>
      </c>
      <c r="E13" s="287">
        <f t="shared" si="5"/>
        <v>254.08530026740985</v>
      </c>
      <c r="F13" s="287">
        <f t="shared" si="0"/>
        <v>929.3146997325903</v>
      </c>
      <c r="G13" s="287">
        <f t="shared" si="6"/>
        <v>1183.4</v>
      </c>
      <c r="H13" s="287">
        <f t="shared" si="7"/>
        <v>2796.01057675498</v>
      </c>
      <c r="I13" s="287">
        <f t="shared" si="7"/>
        <v>9037.989423245022</v>
      </c>
      <c r="J13" s="287">
        <f t="shared" si="8"/>
        <v>40962.010576754976</v>
      </c>
      <c r="L13" s="274">
        <f t="shared" si="1"/>
        <v>1094.72710453284</v>
      </c>
      <c r="M13" s="274">
        <f t="shared" si="2"/>
        <v>859.6805732956432</v>
      </c>
      <c r="N13" s="274">
        <f t="shared" si="3"/>
        <v>235.04653123719692</v>
      </c>
      <c r="O13" s="275">
        <f t="shared" si="4"/>
        <v>37892.70173612856</v>
      </c>
    </row>
    <row r="14" spans="1:15" ht="14.25">
      <c r="A14" s="269" t="s">
        <v>103</v>
      </c>
      <c r="B14" s="287">
        <f>B12-B13</f>
        <v>0</v>
      </c>
      <c r="C14" s="287"/>
      <c r="D14" s="269">
        <v>11</v>
      </c>
      <c r="E14" s="287">
        <f t="shared" si="5"/>
        <v>248.28482768324562</v>
      </c>
      <c r="F14" s="287">
        <f t="shared" si="0"/>
        <v>935.1151723167545</v>
      </c>
      <c r="G14" s="287">
        <f t="shared" si="6"/>
        <v>1183.4</v>
      </c>
      <c r="H14" s="287">
        <f t="shared" si="7"/>
        <v>3044.2954044382254</v>
      </c>
      <c r="I14" s="287">
        <f t="shared" si="7"/>
        <v>9973.104595561777</v>
      </c>
      <c r="J14" s="287">
        <f t="shared" si="8"/>
        <v>40026.89540443822</v>
      </c>
      <c r="L14" s="274">
        <f t="shared" si="1"/>
        <v>1094.72710453284</v>
      </c>
      <c r="M14" s="274">
        <f t="shared" si="2"/>
        <v>865.0464128739635</v>
      </c>
      <c r="N14" s="274">
        <f t="shared" si="3"/>
        <v>229.68069165887664</v>
      </c>
      <c r="O14" s="275">
        <f t="shared" si="4"/>
        <v>37027.6553232546</v>
      </c>
    </row>
    <row r="15" spans="2:15" ht="14.25">
      <c r="B15" s="287"/>
      <c r="C15" s="287"/>
      <c r="D15" s="269">
        <v>12</v>
      </c>
      <c r="E15" s="287">
        <f t="shared" si="5"/>
        <v>242.44815048270183</v>
      </c>
      <c r="F15" s="287">
        <f t="shared" si="0"/>
        <v>940.9518495172982</v>
      </c>
      <c r="G15" s="287">
        <f t="shared" si="6"/>
        <v>1183.4</v>
      </c>
      <c r="H15" s="287">
        <f t="shared" si="7"/>
        <v>3286.743554920927</v>
      </c>
      <c r="I15" s="287">
        <f t="shared" si="7"/>
        <v>10914.056445079075</v>
      </c>
      <c r="J15" s="287">
        <f t="shared" si="8"/>
        <v>39085.94355492092</v>
      </c>
      <c r="L15" s="274">
        <f t="shared" si="1"/>
        <v>1094.72710453284</v>
      </c>
      <c r="M15" s="274">
        <f t="shared" si="2"/>
        <v>870.4457442343185</v>
      </c>
      <c r="N15" s="274">
        <f t="shared" si="3"/>
        <v>224.2813602985216</v>
      </c>
      <c r="O15" s="275">
        <f t="shared" si="4"/>
        <v>36157.20957902028</v>
      </c>
    </row>
    <row r="16" spans="1:15" ht="14.25">
      <c r="A16" s="269" t="s">
        <v>35</v>
      </c>
      <c r="B16" s="285">
        <f>LEASING!H15</f>
        <v>1000</v>
      </c>
      <c r="C16" s="287"/>
      <c r="D16" s="269">
        <v>13</v>
      </c>
      <c r="E16" s="287">
        <f t="shared" si="5"/>
        <v>236.5750426886314</v>
      </c>
      <c r="F16" s="287">
        <f t="shared" si="0"/>
        <v>946.8249573113687</v>
      </c>
      <c r="G16" s="287">
        <f t="shared" si="6"/>
        <v>1183.4</v>
      </c>
      <c r="H16" s="287">
        <f t="shared" si="7"/>
        <v>3523.3185976095588</v>
      </c>
      <c r="I16" s="287">
        <f t="shared" si="7"/>
        <v>11860.881402390443</v>
      </c>
      <c r="J16" s="287">
        <f t="shared" si="8"/>
        <v>38139.11859760955</v>
      </c>
      <c r="L16" s="274">
        <f t="shared" si="1"/>
        <v>1094.72710453284</v>
      </c>
      <c r="M16" s="274">
        <f t="shared" si="2"/>
        <v>875.8787764212477</v>
      </c>
      <c r="N16" s="274">
        <f t="shared" si="3"/>
        <v>218.84832811159242</v>
      </c>
      <c r="O16" s="275">
        <f t="shared" si="4"/>
        <v>35281.33080259903</v>
      </c>
    </row>
    <row r="17" spans="1:15" ht="14.25">
      <c r="A17" s="269" t="s">
        <v>104</v>
      </c>
      <c r="B17" s="287">
        <f>B16/(B20^B9)</f>
        <v>741.8050020262648</v>
      </c>
      <c r="C17" s="287"/>
      <c r="D17" s="269">
        <v>14</v>
      </c>
      <c r="E17" s="287">
        <f t="shared" si="5"/>
        <v>230.66527691341292</v>
      </c>
      <c r="F17" s="287">
        <f t="shared" si="0"/>
        <v>952.7347230865871</v>
      </c>
      <c r="G17" s="287">
        <f t="shared" si="6"/>
        <v>1183.4</v>
      </c>
      <c r="H17" s="287">
        <f t="shared" si="7"/>
        <v>3753.9838745229717</v>
      </c>
      <c r="I17" s="287">
        <f t="shared" si="7"/>
        <v>12813.61612547703</v>
      </c>
      <c r="J17" s="287">
        <f t="shared" si="8"/>
        <v>37186.383874522966</v>
      </c>
      <c r="L17" s="274">
        <f t="shared" si="1"/>
        <v>1094.72710453284</v>
      </c>
      <c r="M17" s="274">
        <f t="shared" si="2"/>
        <v>881.3457197840769</v>
      </c>
      <c r="N17" s="274">
        <f t="shared" si="3"/>
        <v>213.3813847487631</v>
      </c>
      <c r="O17" s="275">
        <f t="shared" si="4"/>
        <v>34399.98508281496</v>
      </c>
    </row>
    <row r="18" spans="1:15" ht="14.25">
      <c r="A18" s="269" t="s">
        <v>105</v>
      </c>
      <c r="B18" s="287">
        <f>B16-B17</f>
        <v>258.1949979737352</v>
      </c>
      <c r="C18" s="287"/>
      <c r="D18" s="269">
        <v>15</v>
      </c>
      <c r="E18" s="287">
        <f t="shared" si="5"/>
        <v>224.71862435014748</v>
      </c>
      <c r="F18" s="287">
        <f t="shared" si="0"/>
        <v>958.6813756498526</v>
      </c>
      <c r="G18" s="287">
        <f t="shared" si="6"/>
        <v>1183.4</v>
      </c>
      <c r="H18" s="287">
        <f t="shared" si="7"/>
        <v>3978.702498873119</v>
      </c>
      <c r="I18" s="287">
        <f t="shared" si="7"/>
        <v>13772.297501126883</v>
      </c>
      <c r="J18" s="287">
        <f t="shared" si="8"/>
        <v>36227.702498873114</v>
      </c>
      <c r="L18" s="274">
        <f t="shared" si="1"/>
        <v>1094.72710453284</v>
      </c>
      <c r="M18" s="274">
        <f t="shared" si="2"/>
        <v>886.8467859850625</v>
      </c>
      <c r="N18" s="274">
        <f t="shared" si="3"/>
        <v>207.8803185477775</v>
      </c>
      <c r="O18" s="275">
        <f t="shared" si="4"/>
        <v>33513.13829682989</v>
      </c>
    </row>
    <row r="19" spans="2:15" ht="14.25">
      <c r="B19" s="287"/>
      <c r="C19" s="287"/>
      <c r="D19" s="269">
        <v>16</v>
      </c>
      <c r="E19" s="287">
        <f t="shared" si="5"/>
        <v>218.73485476379966</v>
      </c>
      <c r="F19" s="287">
        <f t="shared" si="0"/>
        <v>964.6651452362005</v>
      </c>
      <c r="G19" s="287">
        <f t="shared" si="6"/>
        <v>1183.4</v>
      </c>
      <c r="H19" s="287">
        <f t="shared" si="7"/>
        <v>4197.4373536369185</v>
      </c>
      <c r="I19" s="287">
        <f t="shared" si="7"/>
        <v>14736.962646363083</v>
      </c>
      <c r="J19" s="287">
        <f t="shared" si="8"/>
        <v>35263.037353636915</v>
      </c>
      <c r="L19" s="274">
        <f t="shared" si="1"/>
        <v>1094.72710453284</v>
      </c>
      <c r="M19" s="274">
        <f t="shared" si="2"/>
        <v>892.382188007586</v>
      </c>
      <c r="N19" s="274">
        <f t="shared" si="3"/>
        <v>202.3449165252541</v>
      </c>
      <c r="O19" s="275">
        <f t="shared" si="4"/>
        <v>32620.75610882231</v>
      </c>
    </row>
    <row r="20" spans="1:15" ht="14.25">
      <c r="A20" s="269" t="s">
        <v>106</v>
      </c>
      <c r="B20" s="269">
        <f>(B10/100)/12+1</f>
        <v>1.0062416666666667</v>
      </c>
      <c r="D20" s="269">
        <v>17</v>
      </c>
      <c r="E20" s="287">
        <f t="shared" si="5"/>
        <v>212.7137364822837</v>
      </c>
      <c r="F20" s="287">
        <f t="shared" si="0"/>
        <v>970.6862635177164</v>
      </c>
      <c r="G20" s="287">
        <f t="shared" si="6"/>
        <v>1183.4</v>
      </c>
      <c r="H20" s="287">
        <f t="shared" si="7"/>
        <v>4410.151090119202</v>
      </c>
      <c r="I20" s="287">
        <f t="shared" si="7"/>
        <v>15707.6489098808</v>
      </c>
      <c r="J20" s="287">
        <f t="shared" si="8"/>
        <v>34292.3510901192</v>
      </c>
      <c r="L20" s="274">
        <f t="shared" si="1"/>
        <v>1094.72710453284</v>
      </c>
      <c r="M20" s="274">
        <f t="shared" si="2"/>
        <v>897.9521401644</v>
      </c>
      <c r="N20" s="274">
        <f t="shared" si="3"/>
        <v>196.77496436844007</v>
      </c>
      <c r="O20" s="275">
        <f t="shared" si="4"/>
        <v>31722.80396865791</v>
      </c>
    </row>
    <row r="21" spans="1:15" ht="14.25">
      <c r="A21" s="269" t="s">
        <v>107</v>
      </c>
      <c r="B21" s="269">
        <f>(B20^B9*(B20-1))/(B20*(B20^B9-1))</f>
        <v>0.02402428385363741</v>
      </c>
      <c r="D21" s="269">
        <v>18</v>
      </c>
      <c r="E21" s="287">
        <f t="shared" si="5"/>
        <v>206.65503638749396</v>
      </c>
      <c r="F21" s="287">
        <f t="shared" si="0"/>
        <v>976.7449636125061</v>
      </c>
      <c r="G21" s="287">
        <f t="shared" si="6"/>
        <v>1183.4</v>
      </c>
      <c r="H21" s="287">
        <f t="shared" si="7"/>
        <v>4616.806126506696</v>
      </c>
      <c r="I21" s="287">
        <f t="shared" si="7"/>
        <v>16684.393873493307</v>
      </c>
      <c r="J21" s="287">
        <f t="shared" si="8"/>
        <v>33315.60612650669</v>
      </c>
      <c r="L21" s="274">
        <f t="shared" si="1"/>
        <v>1094.72710453284</v>
      </c>
      <c r="M21" s="274">
        <f t="shared" si="2"/>
        <v>903.5568581059262</v>
      </c>
      <c r="N21" s="274">
        <f t="shared" si="3"/>
        <v>191.17024642691393</v>
      </c>
      <c r="O21" s="275">
        <f t="shared" si="4"/>
        <v>30819.24711055198</v>
      </c>
    </row>
    <row r="22" spans="4:15" ht="14.25">
      <c r="D22" s="269">
        <v>19</v>
      </c>
      <c r="E22" s="287">
        <f t="shared" si="5"/>
        <v>200.55851990627923</v>
      </c>
      <c r="F22" s="287">
        <f t="shared" si="0"/>
        <v>982.8414800937209</v>
      </c>
      <c r="G22" s="287">
        <f t="shared" si="6"/>
        <v>1183.4</v>
      </c>
      <c r="H22" s="287">
        <f aca="true" t="shared" si="9" ref="H22:I37">H21+E22</f>
        <v>4817.364646412975</v>
      </c>
      <c r="I22" s="287">
        <f t="shared" si="9"/>
        <v>17667.235353587028</v>
      </c>
      <c r="J22" s="287">
        <f t="shared" si="8"/>
        <v>32332.76464641297</v>
      </c>
      <c r="L22" s="274">
        <f t="shared" si="1"/>
        <v>1094.72710453284</v>
      </c>
      <c r="M22" s="274">
        <f t="shared" si="2"/>
        <v>909.196558828604</v>
      </c>
      <c r="N22" s="274">
        <f t="shared" si="3"/>
        <v>185.53054570423612</v>
      </c>
      <c r="O22" s="275">
        <f t="shared" si="4"/>
        <v>29910.050551723376</v>
      </c>
    </row>
    <row r="23" spans="3:15" ht="14.25">
      <c r="C23" s="287"/>
      <c r="D23" s="269">
        <v>20</v>
      </c>
      <c r="E23" s="287">
        <f t="shared" si="5"/>
        <v>194.4239510013609</v>
      </c>
      <c r="F23" s="287">
        <f t="shared" si="0"/>
        <v>988.9760489986392</v>
      </c>
      <c r="G23" s="287">
        <f t="shared" si="6"/>
        <v>1183.4</v>
      </c>
      <c r="H23" s="287">
        <f t="shared" si="9"/>
        <v>5011.788597414336</v>
      </c>
      <c r="I23" s="287">
        <f t="shared" si="9"/>
        <v>18656.211402585668</v>
      </c>
      <c r="J23" s="287">
        <f t="shared" si="8"/>
        <v>31343.78859741433</v>
      </c>
      <c r="L23" s="274">
        <f t="shared" si="1"/>
        <v>1094.72710453284</v>
      </c>
      <c r="M23" s="274">
        <f t="shared" si="2"/>
        <v>914.8714606832925</v>
      </c>
      <c r="N23" s="274">
        <f t="shared" si="3"/>
        <v>179.85564384954756</v>
      </c>
      <c r="O23" s="275">
        <f t="shared" si="4"/>
        <v>28995.17909104008</v>
      </c>
    </row>
    <row r="24" spans="1:15" ht="14.25">
      <c r="A24" s="269" t="s">
        <v>108</v>
      </c>
      <c r="B24" s="291">
        <f>MROUND(B21*(B7-B17),0.05)</f>
        <v>1183.4</v>
      </c>
      <c r="C24" s="287"/>
      <c r="D24" s="269">
        <v>21</v>
      </c>
      <c r="E24" s="287">
        <f t="shared" si="5"/>
        <v>188.2510921621944</v>
      </c>
      <c r="F24" s="287">
        <f t="shared" si="0"/>
        <v>995.1489078378057</v>
      </c>
      <c r="G24" s="287">
        <f t="shared" si="6"/>
        <v>1183.4</v>
      </c>
      <c r="H24" s="287">
        <f t="shared" si="9"/>
        <v>5200.039689576531</v>
      </c>
      <c r="I24" s="287">
        <f t="shared" si="9"/>
        <v>19651.360310423475</v>
      </c>
      <c r="J24" s="287">
        <f t="shared" si="8"/>
        <v>30348.63968957652</v>
      </c>
      <c r="L24" s="274">
        <f t="shared" si="1"/>
        <v>1094.72710453284</v>
      </c>
      <c r="M24" s="274">
        <f t="shared" si="2"/>
        <v>920.5817833837241</v>
      </c>
      <c r="N24" s="274">
        <f t="shared" si="3"/>
        <v>174.145321149116</v>
      </c>
      <c r="O24" s="275">
        <f t="shared" si="4"/>
        <v>28074.597307656357</v>
      </c>
    </row>
    <row r="25" spans="1:15" ht="14.25">
      <c r="A25" s="269" t="s">
        <v>109</v>
      </c>
      <c r="B25" s="311">
        <f>B24*0.0597</f>
        <v>70.64898000000001</v>
      </c>
      <c r="D25" s="269">
        <v>22</v>
      </c>
      <c r="E25" s="287">
        <f t="shared" si="5"/>
        <v>182.0397043957734</v>
      </c>
      <c r="F25" s="287">
        <f t="shared" si="0"/>
        <v>1001.3602956042266</v>
      </c>
      <c r="G25" s="287">
        <f t="shared" si="6"/>
        <v>1183.4</v>
      </c>
      <c r="H25" s="287">
        <f t="shared" si="9"/>
        <v>5382.079393972304</v>
      </c>
      <c r="I25" s="287">
        <f t="shared" si="9"/>
        <v>20652.720606027702</v>
      </c>
      <c r="J25" s="287">
        <f t="shared" si="8"/>
        <v>29347.279393972294</v>
      </c>
      <c r="L25" s="274">
        <f t="shared" si="1"/>
        <v>1094.72710453284</v>
      </c>
      <c r="M25" s="274">
        <f t="shared" si="2"/>
        <v>926.3277480150108</v>
      </c>
      <c r="N25" s="274">
        <f t="shared" si="3"/>
        <v>168.39935651782926</v>
      </c>
      <c r="O25" s="275">
        <f t="shared" si="4"/>
        <v>27148.269559641347</v>
      </c>
    </row>
    <row r="26" spans="1:15" ht="14.25">
      <c r="A26" s="269" t="s">
        <v>110</v>
      </c>
      <c r="B26" s="291">
        <f>MROUND(B24+B25,0.05)</f>
        <v>1254.0500000000002</v>
      </c>
      <c r="D26" s="269">
        <v>23</v>
      </c>
      <c r="E26" s="287">
        <f t="shared" si="5"/>
        <v>175.78954721737705</v>
      </c>
      <c r="F26" s="287">
        <f t="shared" si="0"/>
        <v>1007.610452782623</v>
      </c>
      <c r="G26" s="287">
        <f t="shared" si="6"/>
        <v>1183.4</v>
      </c>
      <c r="H26" s="287">
        <f t="shared" si="9"/>
        <v>5557.868941189681</v>
      </c>
      <c r="I26" s="287">
        <f t="shared" si="9"/>
        <v>21660.331058810327</v>
      </c>
      <c r="J26" s="287">
        <f t="shared" si="8"/>
        <v>28339.66894118967</v>
      </c>
      <c r="L26" s="274">
        <f t="shared" si="1"/>
        <v>1094.72710453284</v>
      </c>
      <c r="M26" s="274">
        <f t="shared" si="2"/>
        <v>932.1095770422045</v>
      </c>
      <c r="N26" s="274">
        <f t="shared" si="3"/>
        <v>162.61752749063558</v>
      </c>
      <c r="O26" s="275">
        <f t="shared" si="4"/>
        <v>26216.15998259914</v>
      </c>
    </row>
    <row r="27" spans="4:15" ht="14.25">
      <c r="D27" s="269">
        <v>24</v>
      </c>
      <c r="E27" s="287">
        <f t="shared" si="5"/>
        <v>169.5003786412588</v>
      </c>
      <c r="F27" s="287">
        <f t="shared" si="0"/>
        <v>1013.8996213587413</v>
      </c>
      <c r="G27" s="287">
        <f t="shared" si="6"/>
        <v>1183.4</v>
      </c>
      <c r="H27" s="287">
        <f t="shared" si="9"/>
        <v>5727.36931983094</v>
      </c>
      <c r="I27" s="287">
        <f t="shared" si="9"/>
        <v>22674.23068016907</v>
      </c>
      <c r="J27" s="287">
        <f t="shared" si="8"/>
        <v>27325.769319830928</v>
      </c>
      <c r="L27" s="274">
        <f t="shared" si="1"/>
        <v>1094.72710453284</v>
      </c>
      <c r="M27" s="274">
        <f t="shared" si="2"/>
        <v>937.9274943189097</v>
      </c>
      <c r="N27" s="274">
        <f t="shared" si="3"/>
        <v>156.79961021393044</v>
      </c>
      <c r="O27" s="275">
        <f t="shared" si="4"/>
        <v>25278.23248828023</v>
      </c>
    </row>
    <row r="28" spans="1:15" ht="14.25">
      <c r="A28" s="269" t="s">
        <v>111</v>
      </c>
      <c r="B28" s="292">
        <f>((B24*B9)-(B7-B16))</f>
        <v>7803.200000000004</v>
      </c>
      <c r="C28" s="281">
        <f>B28/(1+B31)</f>
        <v>7218.501387604075</v>
      </c>
      <c r="D28" s="269">
        <v>25</v>
      </c>
      <c r="E28" s="287">
        <f t="shared" si="5"/>
        <v>163.17195517127803</v>
      </c>
      <c r="F28" s="287">
        <f t="shared" si="0"/>
        <v>1020.2280448287221</v>
      </c>
      <c r="G28" s="287">
        <f t="shared" si="6"/>
        <v>1183.4</v>
      </c>
      <c r="H28" s="287">
        <f t="shared" si="9"/>
        <v>5890.541275002218</v>
      </c>
      <c r="I28" s="287">
        <f t="shared" si="9"/>
        <v>23694.458724997792</v>
      </c>
      <c r="J28" s="287">
        <f t="shared" si="8"/>
        <v>26305.541275002204</v>
      </c>
      <c r="L28" s="274">
        <f t="shared" si="1"/>
        <v>1094.72710453284</v>
      </c>
      <c r="M28" s="274">
        <f t="shared" si="2"/>
        <v>943.7817250959502</v>
      </c>
      <c r="N28" s="274">
        <f t="shared" si="3"/>
        <v>150.94537943688994</v>
      </c>
      <c r="O28" s="275">
        <f t="shared" si="4"/>
        <v>24334.45076318428</v>
      </c>
    </row>
    <row r="29" spans="1:15" ht="14.25">
      <c r="A29" s="269" t="s">
        <v>112</v>
      </c>
      <c r="B29" s="292">
        <f>B28/B9*12</f>
        <v>1950.800000000001</v>
      </c>
      <c r="C29" s="281">
        <f>B29/(1+B31)</f>
        <v>1804.6253469010187</v>
      </c>
      <c r="D29" s="269">
        <v>26</v>
      </c>
      <c r="E29" s="287">
        <f t="shared" si="5"/>
        <v>156.80403179147208</v>
      </c>
      <c r="F29" s="287">
        <f t="shared" si="0"/>
        <v>1026.5959682085281</v>
      </c>
      <c r="G29" s="287">
        <f t="shared" si="6"/>
        <v>1183.4</v>
      </c>
      <c r="H29" s="287">
        <f t="shared" si="9"/>
        <v>6047.34530679369</v>
      </c>
      <c r="I29" s="287">
        <f t="shared" si="9"/>
        <v>24721.05469320632</v>
      </c>
      <c r="J29" s="287">
        <f t="shared" si="8"/>
        <v>25278.945306793677</v>
      </c>
      <c r="L29" s="274">
        <f t="shared" si="1"/>
        <v>1094.72710453284</v>
      </c>
      <c r="M29" s="274">
        <f t="shared" si="2"/>
        <v>949.6724960300908</v>
      </c>
      <c r="N29" s="274">
        <f t="shared" si="3"/>
        <v>145.0546085027494</v>
      </c>
      <c r="O29" s="275">
        <f t="shared" si="4"/>
        <v>23384.77826715419</v>
      </c>
    </row>
    <row r="30" spans="4:15" ht="14.25">
      <c r="D30" s="269">
        <v>27</v>
      </c>
      <c r="E30" s="287">
        <f t="shared" si="5"/>
        <v>150.39636195657053</v>
      </c>
      <c r="F30" s="287">
        <f t="shared" si="0"/>
        <v>1033.0036380434296</v>
      </c>
      <c r="G30" s="287">
        <f t="shared" si="6"/>
        <v>1183.4</v>
      </c>
      <c r="H30" s="287">
        <f t="shared" si="9"/>
        <v>6197.74166875026</v>
      </c>
      <c r="I30" s="287">
        <f t="shared" si="9"/>
        <v>25754.058331249747</v>
      </c>
      <c r="J30" s="287">
        <f t="shared" si="8"/>
        <v>24245.94166875025</v>
      </c>
      <c r="L30" s="274">
        <f t="shared" si="1"/>
        <v>1094.72710453284</v>
      </c>
      <c r="M30" s="274">
        <f t="shared" si="2"/>
        <v>955.6000351928119</v>
      </c>
      <c r="N30" s="274">
        <f t="shared" si="3"/>
        <v>139.12706934002824</v>
      </c>
      <c r="O30" s="275">
        <f t="shared" si="4"/>
        <v>22429.178231961378</v>
      </c>
    </row>
    <row r="31" spans="1:15" ht="14.25">
      <c r="A31" s="269" t="s">
        <v>8</v>
      </c>
      <c r="B31" s="293">
        <v>0.081</v>
      </c>
      <c r="D31" s="269">
        <v>28</v>
      </c>
      <c r="E31" s="287">
        <f t="shared" si="5"/>
        <v>143.94869758244946</v>
      </c>
      <c r="F31" s="287">
        <f t="shared" si="0"/>
        <v>1039.4513024175506</v>
      </c>
      <c r="G31" s="287">
        <f t="shared" si="6"/>
        <v>1183.4</v>
      </c>
      <c r="H31" s="287">
        <f t="shared" si="9"/>
        <v>6341.690366332709</v>
      </c>
      <c r="I31" s="287">
        <f t="shared" si="9"/>
        <v>26793.509633667298</v>
      </c>
      <c r="J31" s="287">
        <f t="shared" si="8"/>
        <v>23206.4903663327</v>
      </c>
      <c r="L31" s="274">
        <f t="shared" si="1"/>
        <v>1094.72710453284</v>
      </c>
      <c r="M31" s="274">
        <f t="shared" si="2"/>
        <v>961.5645720791402</v>
      </c>
      <c r="N31" s="274">
        <f t="shared" si="3"/>
        <v>133.16253245369978</v>
      </c>
      <c r="O31" s="275">
        <f t="shared" si="4"/>
        <v>21467.613659882238</v>
      </c>
    </row>
    <row r="32" spans="4:15" ht="14.25">
      <c r="D32" s="269">
        <v>29</v>
      </c>
      <c r="E32" s="287">
        <f t="shared" si="5"/>
        <v>137.46078903652656</v>
      </c>
      <c r="F32" s="287">
        <f t="shared" si="0"/>
        <v>1045.9392109634734</v>
      </c>
      <c r="G32" s="287">
        <f t="shared" si="6"/>
        <v>1183.4</v>
      </c>
      <c r="H32" s="287">
        <f t="shared" si="9"/>
        <v>6479.151155369236</v>
      </c>
      <c r="I32" s="287">
        <f t="shared" si="9"/>
        <v>27839.44884463077</v>
      </c>
      <c r="J32" s="287">
        <f t="shared" si="8"/>
        <v>22160.551155369227</v>
      </c>
      <c r="L32" s="274">
        <f t="shared" si="1"/>
        <v>1094.72710453284</v>
      </c>
      <c r="M32" s="274">
        <f t="shared" si="2"/>
        <v>967.5663376165342</v>
      </c>
      <c r="N32" s="274">
        <f t="shared" si="3"/>
        <v>127.1607669163058</v>
      </c>
      <c r="O32" s="275">
        <f t="shared" si="4"/>
        <v>20500.047322265706</v>
      </c>
    </row>
    <row r="33" spans="2:15" ht="14.25">
      <c r="B33" s="281"/>
      <c r="D33" s="269">
        <v>30</v>
      </c>
      <c r="E33" s="287">
        <f t="shared" si="5"/>
        <v>130.93238512809623</v>
      </c>
      <c r="F33" s="287">
        <f t="shared" si="0"/>
        <v>1052.4676148719038</v>
      </c>
      <c r="G33" s="287">
        <f t="shared" si="6"/>
        <v>1183.4</v>
      </c>
      <c r="H33" s="287">
        <f t="shared" si="9"/>
        <v>6610.083540497332</v>
      </c>
      <c r="I33" s="287">
        <f t="shared" si="9"/>
        <v>28891.916459502674</v>
      </c>
      <c r="J33" s="287">
        <f t="shared" si="8"/>
        <v>21108.083540497322</v>
      </c>
      <c r="L33" s="274">
        <f t="shared" si="1"/>
        <v>1094.72710453284</v>
      </c>
      <c r="M33" s="274">
        <f t="shared" si="2"/>
        <v>973.6055641738241</v>
      </c>
      <c r="N33" s="274">
        <f t="shared" si="3"/>
        <v>121.12154035901594</v>
      </c>
      <c r="O33" s="275">
        <f t="shared" si="4"/>
        <v>19526.44175809188</v>
      </c>
    </row>
    <row r="34" spans="4:15" ht="14.25">
      <c r="D34" s="269">
        <v>31</v>
      </c>
      <c r="E34" s="287">
        <f t="shared" si="5"/>
        <v>124.3632330986041</v>
      </c>
      <c r="F34" s="287">
        <f t="shared" si="0"/>
        <v>1059.036766901396</v>
      </c>
      <c r="G34" s="287">
        <f t="shared" si="6"/>
        <v>1183.4</v>
      </c>
      <c r="H34" s="287">
        <f t="shared" si="9"/>
        <v>6734.446773595936</v>
      </c>
      <c r="I34" s="287">
        <f t="shared" si="9"/>
        <v>29950.95322640407</v>
      </c>
      <c r="J34" s="287">
        <f t="shared" si="8"/>
        <v>20049.046773595925</v>
      </c>
      <c r="L34" s="274">
        <f t="shared" si="1"/>
        <v>1094.72710453284</v>
      </c>
      <c r="M34" s="274">
        <f t="shared" si="2"/>
        <v>979.6824855702091</v>
      </c>
      <c r="N34" s="274">
        <f t="shared" si="3"/>
        <v>115.04461896263099</v>
      </c>
      <c r="O34" s="275">
        <f t="shared" si="4"/>
        <v>18546.75927252167</v>
      </c>
    </row>
    <row r="35" spans="4:15" ht="14.25">
      <c r="D35" s="269">
        <v>32</v>
      </c>
      <c r="E35" s="287">
        <f t="shared" si="5"/>
        <v>117.7530786118612</v>
      </c>
      <c r="F35" s="287">
        <f t="shared" si="0"/>
        <v>1065.646921388139</v>
      </c>
      <c r="G35" s="287">
        <f t="shared" si="6"/>
        <v>1183.4</v>
      </c>
      <c r="H35" s="287">
        <f t="shared" si="9"/>
        <v>6852.199852207797</v>
      </c>
      <c r="I35" s="287">
        <f t="shared" si="9"/>
        <v>31016.60014779221</v>
      </c>
      <c r="J35" s="287">
        <f t="shared" si="8"/>
        <v>18983.399852207785</v>
      </c>
      <c r="L35" s="274">
        <f t="shared" si="1"/>
        <v>1094.72710453284</v>
      </c>
      <c r="M35" s="274">
        <f t="shared" si="2"/>
        <v>985.7973370843099</v>
      </c>
      <c r="N35" s="274">
        <f t="shared" si="3"/>
        <v>108.92976744853026</v>
      </c>
      <c r="O35" s="275">
        <f t="shared" si="4"/>
        <v>17560.96193543736</v>
      </c>
    </row>
    <row r="36" spans="4:15" ht="14.25">
      <c r="D36" s="269">
        <v>33</v>
      </c>
      <c r="E36" s="287">
        <f t="shared" si="5"/>
        <v>111.10166574419692</v>
      </c>
      <c r="F36" s="287">
        <f t="shared" si="0"/>
        <v>1072.2983342558032</v>
      </c>
      <c r="G36" s="287">
        <f t="shared" si="6"/>
        <v>1183.4</v>
      </c>
      <c r="H36" s="287">
        <f t="shared" si="9"/>
        <v>6963.301517951994</v>
      </c>
      <c r="I36" s="287">
        <f t="shared" si="9"/>
        <v>32088.898482048015</v>
      </c>
      <c r="J36" s="287">
        <f t="shared" si="8"/>
        <v>17911.10151795198</v>
      </c>
      <c r="L36" s="274">
        <f t="shared" si="1"/>
        <v>1094.72710453284</v>
      </c>
      <c r="M36" s="274">
        <f t="shared" si="2"/>
        <v>991.9503554632777</v>
      </c>
      <c r="N36" s="274">
        <f t="shared" si="3"/>
        <v>102.77674906956237</v>
      </c>
      <c r="O36" s="275">
        <f t="shared" si="4"/>
        <v>16569.01157997408</v>
      </c>
    </row>
    <row r="37" spans="4:15" ht="14.25">
      <c r="D37" s="269">
        <v>34</v>
      </c>
      <c r="E37" s="287">
        <f t="shared" si="5"/>
        <v>104.40873697455027</v>
      </c>
      <c r="F37" s="287">
        <f t="shared" si="0"/>
        <v>1078.9912630254498</v>
      </c>
      <c r="G37" s="287">
        <f t="shared" si="6"/>
        <v>1183.4</v>
      </c>
      <c r="H37" s="287">
        <f t="shared" si="9"/>
        <v>7067.710254926545</v>
      </c>
      <c r="I37" s="287">
        <f t="shared" si="9"/>
        <v>33167.889745073466</v>
      </c>
      <c r="J37" s="287">
        <f t="shared" si="8"/>
        <v>16832.11025492653</v>
      </c>
      <c r="L37" s="274">
        <f t="shared" si="1"/>
        <v>1094.72710453284</v>
      </c>
      <c r="M37" s="274">
        <f t="shared" si="2"/>
        <v>998.141778931961</v>
      </c>
      <c r="N37" s="274">
        <f t="shared" si="3"/>
        <v>96.58532560087906</v>
      </c>
      <c r="O37" s="275">
        <f t="shared" si="4"/>
        <v>15570.86980104212</v>
      </c>
    </row>
    <row r="38" spans="4:15" ht="14.25">
      <c r="D38" s="269">
        <v>35</v>
      </c>
      <c r="E38" s="287">
        <f t="shared" si="5"/>
        <v>97.67403317449975</v>
      </c>
      <c r="F38" s="287">
        <f t="shared" si="0"/>
        <v>1085.7259668255003</v>
      </c>
      <c r="G38" s="287">
        <f t="shared" si="6"/>
        <v>1183.4</v>
      </c>
      <c r="H38" s="287">
        <f aca="true" t="shared" si="10" ref="H38:I53">H37+E38</f>
        <v>7165.384288101044</v>
      </c>
      <c r="I38" s="287">
        <f t="shared" si="10"/>
        <v>34253.615711898965</v>
      </c>
      <c r="J38" s="287">
        <f t="shared" si="8"/>
        <v>15746.38428810103</v>
      </c>
      <c r="L38" s="274">
        <f t="shared" si="1"/>
        <v>1094.72710453284</v>
      </c>
      <c r="M38" s="274">
        <f t="shared" si="2"/>
        <v>1004.371847202128</v>
      </c>
      <c r="N38" s="274">
        <f t="shared" si="3"/>
        <v>90.35525733071208</v>
      </c>
      <c r="O38" s="275">
        <f t="shared" si="4"/>
        <v>14566.497953839991</v>
      </c>
    </row>
    <row r="39" spans="4:15" ht="14.25">
      <c r="D39" s="269">
        <v>36</v>
      </c>
      <c r="E39" s="287">
        <f t="shared" si="5"/>
        <v>90.89729359823059</v>
      </c>
      <c r="F39" s="287">
        <f t="shared" si="0"/>
        <v>1092.5027064017695</v>
      </c>
      <c r="G39" s="287">
        <f t="shared" si="6"/>
        <v>1183.4</v>
      </c>
      <c r="H39" s="287">
        <f t="shared" si="10"/>
        <v>7256.281581699275</v>
      </c>
      <c r="I39" s="287">
        <f t="shared" si="10"/>
        <v>35346.118418300735</v>
      </c>
      <c r="J39" s="287">
        <f t="shared" si="8"/>
        <v>14653.881581699261</v>
      </c>
      <c r="L39" s="274">
        <f t="shared" si="1"/>
        <v>1094.72710453284</v>
      </c>
      <c r="M39" s="274">
        <f t="shared" si="2"/>
        <v>1010.640801481748</v>
      </c>
      <c r="N39" s="274">
        <f t="shared" si="3"/>
        <v>84.08630305109213</v>
      </c>
      <c r="O39" s="275">
        <f t="shared" si="4"/>
        <v>13555.857152358243</v>
      </c>
    </row>
    <row r="40" spans="4:15" ht="14.25">
      <c r="D40" s="269">
        <v>37</v>
      </c>
      <c r="E40" s="287">
        <f t="shared" si="5"/>
        <v>84.07825587243956</v>
      </c>
      <c r="F40" s="287">
        <f t="shared" si="0"/>
        <v>1099.3217441275606</v>
      </c>
      <c r="G40" s="287">
        <f t="shared" si="6"/>
        <v>1183.4</v>
      </c>
      <c r="H40" s="287">
        <f t="shared" si="10"/>
        <v>7340.359837571715</v>
      </c>
      <c r="I40" s="287">
        <f t="shared" si="10"/>
        <v>36445.4401624283</v>
      </c>
      <c r="J40" s="287">
        <f t="shared" si="8"/>
        <v>13554.5598375717</v>
      </c>
      <c r="L40" s="274">
        <f t="shared" si="1"/>
        <v>1094.72710453284</v>
      </c>
      <c r="M40" s="274">
        <f t="shared" si="2"/>
        <v>1016.9488844843299</v>
      </c>
      <c r="N40" s="274">
        <f t="shared" si="3"/>
        <v>77.77822004851024</v>
      </c>
      <c r="O40" s="275">
        <f t="shared" si="4"/>
        <v>12538.908267873914</v>
      </c>
    </row>
    <row r="41" spans="4:15" ht="14.25">
      <c r="D41" s="269">
        <v>38</v>
      </c>
      <c r="E41" s="287">
        <f t="shared" si="5"/>
        <v>77.21665598617669</v>
      </c>
      <c r="F41" s="287">
        <f t="shared" si="0"/>
        <v>1106.1833440138234</v>
      </c>
      <c r="G41" s="287">
        <f t="shared" si="6"/>
        <v>1183.4</v>
      </c>
      <c r="H41" s="287">
        <f t="shared" si="10"/>
        <v>7417.576493557892</v>
      </c>
      <c r="I41" s="287">
        <f t="shared" si="10"/>
        <v>37551.62350644212</v>
      </c>
      <c r="J41" s="287">
        <f t="shared" si="8"/>
        <v>12448.376493557877</v>
      </c>
      <c r="L41" s="274">
        <f t="shared" si="1"/>
        <v>1094.72710453284</v>
      </c>
      <c r="M41" s="274">
        <f t="shared" si="2"/>
        <v>1023.2963404383196</v>
      </c>
      <c r="N41" s="274">
        <f t="shared" si="3"/>
        <v>71.43076409452053</v>
      </c>
      <c r="O41" s="275">
        <f t="shared" si="4"/>
        <v>11515.611927435593</v>
      </c>
    </row>
    <row r="42" spans="4:15" ht="14.25">
      <c r="D42" s="269">
        <v>39</v>
      </c>
      <c r="E42" s="287">
        <f t="shared" si="5"/>
        <v>70.31222828062374</v>
      </c>
      <c r="F42" s="287">
        <f t="shared" si="0"/>
        <v>1113.0877717193764</v>
      </c>
      <c r="G42" s="287">
        <f t="shared" si="6"/>
        <v>1183.4</v>
      </c>
      <c r="H42" s="287">
        <f t="shared" si="10"/>
        <v>7487.888721838515</v>
      </c>
      <c r="I42" s="287">
        <f t="shared" si="10"/>
        <v>38664.7112781615</v>
      </c>
      <c r="J42" s="287">
        <f t="shared" si="8"/>
        <v>11335.2887218385</v>
      </c>
      <c r="L42" s="274">
        <f t="shared" si="1"/>
        <v>1094.72710453284</v>
      </c>
      <c r="M42" s="274">
        <f t="shared" si="2"/>
        <v>1029.6834150965556</v>
      </c>
      <c r="N42" s="274">
        <f t="shared" si="3"/>
        <v>65.04368943628468</v>
      </c>
      <c r="O42" s="275">
        <f t="shared" si="4"/>
        <v>10485.928512339038</v>
      </c>
    </row>
    <row r="43" spans="4:15" ht="14.25">
      <c r="D43" s="269">
        <v>40</v>
      </c>
      <c r="E43" s="287">
        <f t="shared" si="5"/>
        <v>63.364705438808635</v>
      </c>
      <c r="F43" s="287">
        <f t="shared" si="0"/>
        <v>1120.0352945611914</v>
      </c>
      <c r="G43" s="287">
        <f t="shared" si="6"/>
        <v>1183.4</v>
      </c>
      <c r="H43" s="287">
        <f t="shared" si="10"/>
        <v>7551.253427277324</v>
      </c>
      <c r="I43" s="287">
        <f t="shared" si="10"/>
        <v>39784.74657272269</v>
      </c>
      <c r="J43" s="287">
        <f t="shared" si="8"/>
        <v>10215.253427277308</v>
      </c>
      <c r="L43" s="274">
        <f t="shared" si="1"/>
        <v>1094.72710453284</v>
      </c>
      <c r="M43" s="274">
        <f t="shared" si="2"/>
        <v>1036.110355745783</v>
      </c>
      <c r="N43" s="274">
        <f t="shared" si="3"/>
        <v>58.61674878705702</v>
      </c>
      <c r="O43" s="275">
        <f t="shared" si="4"/>
        <v>9449.818156593255</v>
      </c>
    </row>
    <row r="44" spans="4:15" ht="14.25">
      <c r="D44" s="269">
        <v>41</v>
      </c>
      <c r="E44" s="287">
        <f t="shared" si="5"/>
        <v>56.37381847525587</v>
      </c>
      <c r="F44" s="287">
        <f t="shared" si="0"/>
        <v>1127.0261815247443</v>
      </c>
      <c r="G44" s="287">
        <f t="shared" si="6"/>
        <v>1183.4</v>
      </c>
      <c r="H44" s="287">
        <f t="shared" si="10"/>
        <v>7607.627245752579</v>
      </c>
      <c r="I44" s="287">
        <f t="shared" si="10"/>
        <v>40911.77275424743</v>
      </c>
      <c r="J44" s="287">
        <f t="shared" si="8"/>
        <v>9088.227245752563</v>
      </c>
      <c r="L44" s="274">
        <f t="shared" si="1"/>
        <v>1094.72710453284</v>
      </c>
      <c r="M44" s="274">
        <f t="shared" si="2"/>
        <v>1042.5774112162296</v>
      </c>
      <c r="N44" s="274">
        <f t="shared" si="3"/>
        <v>52.149693316610424</v>
      </c>
      <c r="O44" s="275">
        <f t="shared" si="4"/>
        <v>8407.240745377025</v>
      </c>
    </row>
    <row r="45" spans="4:15" ht="14.25">
      <c r="D45" s="269">
        <v>42</v>
      </c>
      <c r="E45" s="287">
        <f t="shared" si="5"/>
        <v>49.33929672557225</v>
      </c>
      <c r="F45" s="287">
        <f t="shared" si="0"/>
        <v>1134.0607032744279</v>
      </c>
      <c r="G45" s="287">
        <f t="shared" si="6"/>
        <v>1183.4</v>
      </c>
      <c r="H45" s="287">
        <f t="shared" si="10"/>
        <v>7656.9665424781515</v>
      </c>
      <c r="I45" s="287">
        <f t="shared" si="10"/>
        <v>42045.83345752186</v>
      </c>
      <c r="J45" s="287">
        <f t="shared" si="8"/>
        <v>7954.166542478135</v>
      </c>
      <c r="L45" s="274">
        <f t="shared" si="1"/>
        <v>1094.72710453284</v>
      </c>
      <c r="M45" s="274">
        <f t="shared" si="2"/>
        <v>1049.0848318912376</v>
      </c>
      <c r="N45" s="274">
        <f t="shared" si="3"/>
        <v>45.64227264160245</v>
      </c>
      <c r="O45" s="275">
        <f t="shared" si="4"/>
        <v>7358.155913485786</v>
      </c>
    </row>
    <row r="46" spans="4:15" ht="14.25">
      <c r="D46" s="269">
        <v>43</v>
      </c>
      <c r="E46" s="287">
        <f t="shared" si="5"/>
        <v>42.260867835967694</v>
      </c>
      <c r="F46" s="287">
        <f t="shared" si="0"/>
        <v>1141.1391321640324</v>
      </c>
      <c r="G46" s="287">
        <f t="shared" si="6"/>
        <v>1183.4</v>
      </c>
      <c r="H46" s="287">
        <f t="shared" si="10"/>
        <v>7699.227410314119</v>
      </c>
      <c r="I46" s="287">
        <f t="shared" si="10"/>
        <v>43186.972589685894</v>
      </c>
      <c r="J46" s="287">
        <f t="shared" si="8"/>
        <v>6813.027410314103</v>
      </c>
      <c r="L46" s="274">
        <f t="shared" si="1"/>
        <v>1094.72710453284</v>
      </c>
      <c r="M46" s="274">
        <f t="shared" si="2"/>
        <v>1055.6328697169588</v>
      </c>
      <c r="N46" s="274">
        <f t="shared" si="3"/>
        <v>39.09423481588131</v>
      </c>
      <c r="O46" s="275">
        <f t="shared" si="4"/>
        <v>6302.523043768828</v>
      </c>
    </row>
    <row r="47" spans="4:15" ht="14.25">
      <c r="D47" s="269">
        <v>44</v>
      </c>
      <c r="E47" s="287">
        <f t="shared" si="5"/>
        <v>35.138257752710516</v>
      </c>
      <c r="F47" s="287">
        <f t="shared" si="0"/>
        <v>1148.2617422472895</v>
      </c>
      <c r="G47" s="287">
        <f t="shared" si="6"/>
        <v>1183.4</v>
      </c>
      <c r="H47" s="287">
        <f t="shared" si="10"/>
        <v>7734.365668066829</v>
      </c>
      <c r="I47" s="287">
        <f t="shared" si="10"/>
        <v>44335.234331933185</v>
      </c>
      <c r="J47" s="287">
        <f t="shared" si="8"/>
        <v>5664.765668066813</v>
      </c>
      <c r="L47" s="274">
        <f t="shared" si="1"/>
        <v>1094.72710453284</v>
      </c>
      <c r="M47" s="274">
        <f t="shared" si="2"/>
        <v>1062.2217782121088</v>
      </c>
      <c r="N47" s="274">
        <f t="shared" si="3"/>
        <v>32.505326320731285</v>
      </c>
      <c r="O47" s="275">
        <f t="shared" si="4"/>
        <v>5240.301265556719</v>
      </c>
    </row>
    <row r="48" spans="4:15" ht="14.25">
      <c r="D48" s="269">
        <v>45</v>
      </c>
      <c r="E48" s="287">
        <f t="shared" si="5"/>
        <v>27.97119071151703</v>
      </c>
      <c r="F48" s="287">
        <f t="shared" si="0"/>
        <v>1155.428809288483</v>
      </c>
      <c r="G48" s="287">
        <f t="shared" si="6"/>
        <v>1183.4</v>
      </c>
      <c r="H48" s="287">
        <f t="shared" si="10"/>
        <v>7762.336858778346</v>
      </c>
      <c r="I48" s="287">
        <f t="shared" si="10"/>
        <v>45490.66314122167</v>
      </c>
      <c r="J48" s="287">
        <f t="shared" si="8"/>
        <v>4509.33685877833</v>
      </c>
      <c r="L48" s="274">
        <f t="shared" si="1"/>
        <v>1094.72710453284</v>
      </c>
      <c r="M48" s="274">
        <f t="shared" si="2"/>
        <v>1068.8518124777827</v>
      </c>
      <c r="N48" s="274">
        <f t="shared" si="3"/>
        <v>25.875292055057383</v>
      </c>
      <c r="O48" s="275">
        <f t="shared" si="4"/>
        <v>4171.449453078936</v>
      </c>
    </row>
    <row r="49" spans="4:15" ht="14.25">
      <c r="D49" s="269">
        <v>46</v>
      </c>
      <c r="E49" s="287">
        <f t="shared" si="5"/>
        <v>20.759389226874738</v>
      </c>
      <c r="F49" s="287">
        <f t="shared" si="0"/>
        <v>1162.6406107731254</v>
      </c>
      <c r="G49" s="287">
        <f t="shared" si="6"/>
        <v>1183.4</v>
      </c>
      <c r="H49" s="287">
        <f t="shared" si="10"/>
        <v>7783.096248005221</v>
      </c>
      <c r="I49" s="287">
        <f t="shared" si="10"/>
        <v>46653.30375199479</v>
      </c>
      <c r="J49" s="287">
        <f t="shared" si="8"/>
        <v>3346.6962480052043</v>
      </c>
      <c r="L49" s="274">
        <f t="shared" si="1"/>
        <v>1094.72710453284</v>
      </c>
      <c r="M49" s="274">
        <f t="shared" si="2"/>
        <v>1075.5232292073317</v>
      </c>
      <c r="N49" s="274">
        <f t="shared" si="3"/>
        <v>19.203875325508548</v>
      </c>
      <c r="O49" s="275">
        <f t="shared" si="4"/>
        <v>3095.9262238716046</v>
      </c>
    </row>
    <row r="50" spans="4:15" ht="14.25">
      <c r="D50" s="269">
        <v>47</v>
      </c>
      <c r="E50" s="287">
        <f t="shared" si="5"/>
        <v>13.50257408129915</v>
      </c>
      <c r="F50" s="287">
        <f t="shared" si="0"/>
        <v>1169.897425918701</v>
      </c>
      <c r="G50" s="287">
        <f t="shared" si="6"/>
        <v>1183.4</v>
      </c>
      <c r="H50" s="287">
        <f t="shared" si="10"/>
        <v>7796.59882208652</v>
      </c>
      <c r="I50" s="287">
        <f t="shared" si="10"/>
        <v>47823.20117791349</v>
      </c>
      <c r="J50" s="287">
        <f t="shared" si="8"/>
        <v>2176.7988220865036</v>
      </c>
      <c r="L50" s="274">
        <f t="shared" si="1"/>
        <v>1094.72710453284</v>
      </c>
      <c r="M50" s="274">
        <f t="shared" si="2"/>
        <v>1082.2362866963006</v>
      </c>
      <c r="N50" s="274">
        <f t="shared" si="3"/>
        <v>12.490817836539454</v>
      </c>
      <c r="O50" s="275">
        <f t="shared" si="4"/>
        <v>2013.689937175304</v>
      </c>
    </row>
    <row r="51" spans="4:15" ht="14.25">
      <c r="D51" s="269">
        <v>48</v>
      </c>
      <c r="E51" s="287">
        <f t="shared" si="5"/>
        <v>6.200464314523259</v>
      </c>
      <c r="F51" s="287">
        <f t="shared" si="0"/>
        <v>1177.1995356854768</v>
      </c>
      <c r="G51" s="287">
        <f t="shared" si="6"/>
        <v>1183.4</v>
      </c>
      <c r="H51" s="287">
        <f t="shared" si="10"/>
        <v>7802.799286401043</v>
      </c>
      <c r="I51" s="287">
        <f t="shared" si="10"/>
        <v>49000.40071359897</v>
      </c>
      <c r="J51" s="287">
        <f t="shared" si="8"/>
        <v>999.5992864010268</v>
      </c>
      <c r="L51" s="274">
        <f t="shared" si="1"/>
        <v>1094.72710453284</v>
      </c>
      <c r="M51" s="274">
        <f t="shared" si="2"/>
        <v>1088.99124485243</v>
      </c>
      <c r="N51" s="274">
        <f t="shared" si="3"/>
        <v>5.735859680410046</v>
      </c>
      <c r="O51" s="275">
        <f t="shared" si="4"/>
        <v>924.6986923228741</v>
      </c>
    </row>
    <row r="52" spans="4:15" ht="14.25">
      <c r="D52" s="269">
        <v>49</v>
      </c>
      <c r="E52" s="287">
        <f t="shared" si="5"/>
        <v>-1.1472227873802583</v>
      </c>
      <c r="F52" s="287">
        <f t="shared" si="0"/>
        <v>1184.5472227873804</v>
      </c>
      <c r="G52" s="287">
        <f t="shared" si="6"/>
        <v>1183.4</v>
      </c>
      <c r="H52" s="287">
        <f t="shared" si="10"/>
        <v>7801.652063613663</v>
      </c>
      <c r="I52" s="287">
        <f t="shared" si="10"/>
        <v>50184.94793638635</v>
      </c>
      <c r="J52" s="287">
        <f t="shared" si="8"/>
        <v>-184.9479363863536</v>
      </c>
      <c r="L52" s="274">
        <f t="shared" si="1"/>
        <v>1094.72710453284</v>
      </c>
      <c r="M52" s="274">
        <f t="shared" si="2"/>
        <v>1095.7883652057174</v>
      </c>
      <c r="N52" s="274">
        <f t="shared" si="3"/>
        <v>-1.0612606728772047</v>
      </c>
      <c r="O52" s="275">
        <f t="shared" si="4"/>
        <v>-171.0896728828433</v>
      </c>
    </row>
    <row r="53" spans="4:15" ht="14.25">
      <c r="D53" s="269">
        <v>50</v>
      </c>
      <c r="E53" s="287">
        <f t="shared" si="5"/>
        <v>-8.540771702944824</v>
      </c>
      <c r="F53" s="287">
        <f t="shared" si="0"/>
        <v>1191.9407717029449</v>
      </c>
      <c r="G53" s="287">
        <f t="shared" si="6"/>
        <v>1183.4</v>
      </c>
      <c r="H53" s="287">
        <f t="shared" si="10"/>
        <v>7793.111291910718</v>
      </c>
      <c r="I53" s="287">
        <f t="shared" si="10"/>
        <v>51376.8887080893</v>
      </c>
      <c r="J53" s="287">
        <f t="shared" si="8"/>
        <v>-1376.8887080892985</v>
      </c>
      <c r="L53" s="274">
        <f t="shared" si="1"/>
        <v>1094.72710453284</v>
      </c>
      <c r="M53" s="274">
        <f t="shared" si="2"/>
        <v>1102.627910918543</v>
      </c>
      <c r="N53" s="274">
        <f t="shared" si="3"/>
        <v>-7.900806385702889</v>
      </c>
      <c r="O53" s="275">
        <f t="shared" si="4"/>
        <v>-1273.7175838013861</v>
      </c>
    </row>
    <row r="54" spans="4:15" ht="14.25">
      <c r="D54" s="269">
        <v>51</v>
      </c>
      <c r="E54" s="287">
        <f t="shared" si="5"/>
        <v>-15.980468686324038</v>
      </c>
      <c r="F54" s="287">
        <f t="shared" si="0"/>
        <v>1199.380468686324</v>
      </c>
      <c r="G54" s="287">
        <f t="shared" si="6"/>
        <v>1183.4</v>
      </c>
      <c r="H54" s="287">
        <f aca="true" t="shared" si="11" ref="H54:I64">H53+E54</f>
        <v>7777.130823224394</v>
      </c>
      <c r="I54" s="287">
        <f t="shared" si="11"/>
        <v>52576.26917677562</v>
      </c>
      <c r="J54" s="287">
        <f t="shared" si="8"/>
        <v>-2576.2691767756223</v>
      </c>
      <c r="L54" s="274">
        <f t="shared" si="1"/>
        <v>1094.72710453284</v>
      </c>
      <c r="M54" s="274">
        <f t="shared" si="2"/>
        <v>1109.5101467958596</v>
      </c>
      <c r="N54" s="274">
        <f t="shared" si="3"/>
        <v>-14.783042263019462</v>
      </c>
      <c r="O54" s="275">
        <f t="shared" si="4"/>
        <v>-2383.2277305972457</v>
      </c>
    </row>
    <row r="55" spans="4:15" ht="14.25">
      <c r="D55" s="269">
        <v>52</v>
      </c>
      <c r="E55" s="287">
        <f t="shared" si="5"/>
        <v>-23.466601778374507</v>
      </c>
      <c r="F55" s="287">
        <f t="shared" si="0"/>
        <v>1206.8666017783746</v>
      </c>
      <c r="G55" s="287">
        <f t="shared" si="6"/>
        <v>1183.4</v>
      </c>
      <c r="H55" s="287">
        <f t="shared" si="11"/>
        <v>7753.664221446019</v>
      </c>
      <c r="I55" s="287">
        <f t="shared" si="11"/>
        <v>53783.135778553995</v>
      </c>
      <c r="J55" s="287">
        <f t="shared" si="8"/>
        <v>-3783.1357785539967</v>
      </c>
      <c r="L55" s="274">
        <f t="shared" si="1"/>
        <v>1094.72710453284</v>
      </c>
      <c r="M55" s="274">
        <f t="shared" si="2"/>
        <v>1116.4353392954438</v>
      </c>
      <c r="N55" s="274">
        <f t="shared" si="3"/>
        <v>-21.708234762603613</v>
      </c>
      <c r="O55" s="275">
        <f t="shared" si="4"/>
        <v>-3499.6630698926892</v>
      </c>
    </row>
    <row r="56" spans="4:15" ht="14.25">
      <c r="D56" s="269">
        <v>53</v>
      </c>
      <c r="E56" s="287">
        <f t="shared" si="5"/>
        <v>-30.999460817807854</v>
      </c>
      <c r="F56" s="287">
        <f t="shared" si="0"/>
        <v>1214.399460817808</v>
      </c>
      <c r="G56" s="287">
        <f t="shared" si="6"/>
        <v>1183.4</v>
      </c>
      <c r="H56" s="287">
        <f t="shared" si="11"/>
        <v>7722.664760628211</v>
      </c>
      <c r="I56" s="287">
        <f t="shared" si="11"/>
        <v>54997.535239371806</v>
      </c>
      <c r="J56" s="287">
        <f t="shared" si="8"/>
        <v>-4997.535239371805</v>
      </c>
      <c r="L56" s="274">
        <f t="shared" si="1"/>
        <v>1094.72710453284</v>
      </c>
      <c r="M56" s="274">
        <f t="shared" si="2"/>
        <v>1123.4037565382127</v>
      </c>
      <c r="N56" s="274">
        <f t="shared" si="3"/>
        <v>-28.67665200537267</v>
      </c>
      <c r="O56" s="275">
        <f t="shared" si="4"/>
        <v>-4623.066826430902</v>
      </c>
    </row>
    <row r="57" spans="4:15" ht="14.25">
      <c r="D57" s="269">
        <v>54</v>
      </c>
      <c r="E57" s="287">
        <f t="shared" si="5"/>
        <v>-38.57933745241235</v>
      </c>
      <c r="F57" s="287">
        <f t="shared" si="0"/>
        <v>1221.9793374524124</v>
      </c>
      <c r="G57" s="287">
        <f t="shared" si="6"/>
        <v>1183.4</v>
      </c>
      <c r="H57" s="287">
        <f t="shared" si="11"/>
        <v>7684.0854231757985</v>
      </c>
      <c r="I57" s="287">
        <f t="shared" si="11"/>
        <v>56219.51457682422</v>
      </c>
      <c r="J57" s="287">
        <f t="shared" si="8"/>
        <v>-6219.514576824217</v>
      </c>
      <c r="L57" s="274">
        <f t="shared" si="1"/>
        <v>1094.72710453284</v>
      </c>
      <c r="M57" s="274">
        <f t="shared" si="2"/>
        <v>1130.4156683186054</v>
      </c>
      <c r="N57" s="274">
        <f t="shared" si="3"/>
        <v>-35.68856378576535</v>
      </c>
      <c r="O57" s="275">
        <f t="shared" si="4"/>
        <v>-5753.482494749507</v>
      </c>
    </row>
    <row r="58" spans="4:15" ht="14.25">
      <c r="D58" s="269">
        <v>55</v>
      </c>
      <c r="E58" s="287">
        <f t="shared" si="5"/>
        <v>-46.20652515034449</v>
      </c>
      <c r="F58" s="287">
        <f t="shared" si="0"/>
        <v>1229.6065251503446</v>
      </c>
      <c r="G58" s="287">
        <f t="shared" si="6"/>
        <v>1183.4</v>
      </c>
      <c r="H58" s="287">
        <f t="shared" si="11"/>
        <v>7637.878898025454</v>
      </c>
      <c r="I58" s="287">
        <f t="shared" si="11"/>
        <v>57449.12110197457</v>
      </c>
      <c r="J58" s="287">
        <f t="shared" si="8"/>
        <v>-7449.121101974562</v>
      </c>
      <c r="L58" s="274">
        <f t="shared" si="1"/>
        <v>1094.72710453284</v>
      </c>
      <c r="M58" s="274">
        <f t="shared" si="2"/>
        <v>1137.4713461150275</v>
      </c>
      <c r="N58" s="274">
        <f t="shared" si="3"/>
        <v>-42.74424158218732</v>
      </c>
      <c r="O58" s="275">
        <f t="shared" si="4"/>
        <v>-6890.953840864535</v>
      </c>
    </row>
    <row r="59" spans="4:15" ht="14.25">
      <c r="D59" s="269">
        <v>56</v>
      </c>
      <c r="E59" s="287">
        <f t="shared" si="5"/>
        <v>-53.881319211491224</v>
      </c>
      <c r="F59" s="287">
        <f t="shared" si="0"/>
        <v>1237.2813192114913</v>
      </c>
      <c r="G59" s="287">
        <f t="shared" si="6"/>
        <v>1183.4</v>
      </c>
      <c r="H59" s="287">
        <f t="shared" si="11"/>
        <v>7583.997578813963</v>
      </c>
      <c r="I59" s="287">
        <f t="shared" si="11"/>
        <v>58686.40242118606</v>
      </c>
      <c r="J59" s="287">
        <f t="shared" si="8"/>
        <v>-8686.402421186054</v>
      </c>
      <c r="L59" s="274">
        <f t="shared" si="1"/>
        <v>1094.72710453284</v>
      </c>
      <c r="M59" s="274">
        <f t="shared" si="2"/>
        <v>1144.5710631003622</v>
      </c>
      <c r="N59" s="274">
        <f t="shared" si="3"/>
        <v>-49.843958567521945</v>
      </c>
      <c r="O59" s="275">
        <f t="shared" si="4"/>
        <v>-8035.524903964898</v>
      </c>
    </row>
    <row r="60" spans="4:15" ht="14.25">
      <c r="D60" s="269">
        <v>57</v>
      </c>
      <c r="E60" s="287">
        <f t="shared" si="5"/>
        <v>-61.60401677890295</v>
      </c>
      <c r="F60" s="287">
        <f t="shared" si="0"/>
        <v>1245.004016778903</v>
      </c>
      <c r="G60" s="287">
        <f t="shared" si="6"/>
        <v>1183.4</v>
      </c>
      <c r="H60" s="287">
        <f t="shared" si="11"/>
        <v>7522.393562035059</v>
      </c>
      <c r="I60" s="287">
        <f t="shared" si="11"/>
        <v>59931.406437964964</v>
      </c>
      <c r="J60" s="287">
        <f t="shared" si="8"/>
        <v>-9931.406437964957</v>
      </c>
      <c r="L60" s="274">
        <f t="shared" si="1"/>
        <v>1094.72710453284</v>
      </c>
      <c r="M60" s="274">
        <f t="shared" si="2"/>
        <v>1151.7150941525467</v>
      </c>
      <c r="N60" s="274">
        <f t="shared" si="3"/>
        <v>-56.98798961970671</v>
      </c>
      <c r="O60" s="275">
        <f t="shared" si="4"/>
        <v>-9187.239998117444</v>
      </c>
    </row>
    <row r="61" spans="4:15" ht="14.25">
      <c r="D61" s="269">
        <v>58</v>
      </c>
      <c r="E61" s="287">
        <f t="shared" si="5"/>
        <v>-69.37491685029794</v>
      </c>
      <c r="F61" s="287">
        <f t="shared" si="0"/>
        <v>1252.774916850298</v>
      </c>
      <c r="G61" s="287">
        <f t="shared" si="6"/>
        <v>1183.4</v>
      </c>
      <c r="H61" s="287">
        <f t="shared" si="11"/>
        <v>7453.018645184761</v>
      </c>
      <c r="I61" s="287">
        <f t="shared" si="11"/>
        <v>61184.181354815264</v>
      </c>
      <c r="J61" s="287">
        <f t="shared" si="8"/>
        <v>-11184.181354815255</v>
      </c>
      <c r="L61" s="274">
        <f t="shared" si="1"/>
        <v>1094.72710453284</v>
      </c>
      <c r="M61" s="274">
        <f t="shared" si="2"/>
        <v>1158.9037158652156</v>
      </c>
      <c r="N61" s="274">
        <f t="shared" si="3"/>
        <v>-64.17661133237551</v>
      </c>
      <c r="O61" s="275">
        <f t="shared" si="4"/>
        <v>-10346.14371398266</v>
      </c>
    </row>
    <row r="62" spans="4:15" ht="14.25">
      <c r="D62" s="269">
        <v>59</v>
      </c>
      <c r="E62" s="287">
        <f t="shared" si="5"/>
        <v>-77.19432028963854</v>
      </c>
      <c r="F62" s="287">
        <f t="shared" si="0"/>
        <v>1260.5943202896387</v>
      </c>
      <c r="G62" s="287">
        <f t="shared" si="6"/>
        <v>1183.4</v>
      </c>
      <c r="H62" s="287">
        <f t="shared" si="11"/>
        <v>7375.824324895123</v>
      </c>
      <c r="I62" s="287">
        <f t="shared" si="11"/>
        <v>62444.7756751049</v>
      </c>
      <c r="J62" s="287">
        <f t="shared" si="8"/>
        <v>-12444.775675104895</v>
      </c>
      <c r="L62" s="274">
        <f t="shared" si="1"/>
        <v>1094.72710453284</v>
      </c>
      <c r="M62" s="274">
        <f t="shared" si="2"/>
        <v>1166.1372065584078</v>
      </c>
      <c r="N62" s="274">
        <f t="shared" si="3"/>
        <v>-71.41010202556757</v>
      </c>
      <c r="O62" s="275">
        <f t="shared" si="4"/>
        <v>-11512.280920541069</v>
      </c>
    </row>
    <row r="63" spans="4:15" ht="14.25">
      <c r="D63" s="269">
        <v>60</v>
      </c>
      <c r="E63" s="287">
        <f t="shared" si="5"/>
        <v>-85.06252983877971</v>
      </c>
      <c r="F63" s="287">
        <f t="shared" si="0"/>
        <v>1268.4625298387798</v>
      </c>
      <c r="G63" s="287">
        <f t="shared" si="6"/>
        <v>1183.4</v>
      </c>
      <c r="H63" s="287">
        <f t="shared" si="11"/>
        <v>7290.7617950563435</v>
      </c>
      <c r="I63" s="287">
        <f t="shared" si="11"/>
        <v>63713.23820494368</v>
      </c>
      <c r="J63" s="287">
        <f t="shared" si="8"/>
        <v>-13713.238204943675</v>
      </c>
      <c r="L63" s="274">
        <f t="shared" si="1"/>
        <v>1094.72710453284</v>
      </c>
      <c r="M63" s="274">
        <f t="shared" si="2"/>
        <v>1173.415846289343</v>
      </c>
      <c r="N63" s="274">
        <f t="shared" si="3"/>
        <v>-78.68874175650298</v>
      </c>
      <c r="O63" s="275">
        <f t="shared" si="4"/>
        <v>-12685.696766830411</v>
      </c>
    </row>
    <row r="64" spans="4:15" ht="14.25">
      <c r="D64" s="269">
        <v>61</v>
      </c>
      <c r="E64" s="287">
        <f t="shared" si="5"/>
        <v>-92.97985012919008</v>
      </c>
      <c r="F64" s="287">
        <f t="shared" si="0"/>
        <v>1276.3798501291901</v>
      </c>
      <c r="G64" s="287">
        <f t="shared" si="6"/>
        <v>1183.4</v>
      </c>
      <c r="H64" s="287">
        <f t="shared" si="11"/>
        <v>7197.781944927154</v>
      </c>
      <c r="I64" s="287">
        <f t="shared" si="11"/>
        <v>64989.61805507287</v>
      </c>
      <c r="J64" s="287">
        <f t="shared" si="8"/>
        <v>-14989.618055072864</v>
      </c>
      <c r="L64" s="274">
        <f t="shared" si="1"/>
        <v>1094.72710453284</v>
      </c>
      <c r="M64" s="274">
        <f t="shared" si="2"/>
        <v>1180.7399168632655</v>
      </c>
      <c r="N64" s="274">
        <f t="shared" si="3"/>
        <v>-86.01281233042562</v>
      </c>
      <c r="O64" s="275">
        <f t="shared" si="4"/>
        <v>-13866.436683693677</v>
      </c>
    </row>
    <row r="78" ht="14.25">
      <c r="B78" s="269">
        <f>12000/(1.00408333^48)</f>
        <v>9868.08576434029</v>
      </c>
    </row>
  </sheetData>
  <sheetProtection/>
  <mergeCells count="1">
    <mergeCell ref="L2:O2"/>
  </mergeCells>
  <conditionalFormatting sqref="D4:O64">
    <cfRule type="expression" priority="1" dxfId="0">
      <formula>$D4&gt;$B$9</formula>
    </cfRule>
  </conditionalFormatting>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1:O78"/>
  <sheetViews>
    <sheetView zoomScalePageLayoutView="0" workbookViewId="0" topLeftCell="A1">
      <selection activeCell="B28" sqref="B28"/>
    </sheetView>
  </sheetViews>
  <sheetFormatPr defaultColWidth="11.421875" defaultRowHeight="12.75"/>
  <cols>
    <col min="1" max="1" width="30.421875" style="269" bestFit="1" customWidth="1"/>
    <col min="2" max="3" width="11.421875" style="269" customWidth="1"/>
    <col min="4" max="4" width="6.8515625" style="269" bestFit="1" customWidth="1"/>
    <col min="5" max="5" width="9.7109375" style="269" bestFit="1" customWidth="1"/>
    <col min="6" max="6" width="12.57421875" style="269" bestFit="1" customWidth="1"/>
    <col min="7" max="7" width="8.00390625" style="269" bestFit="1" customWidth="1"/>
    <col min="8" max="8" width="10.7109375" style="269" bestFit="1" customWidth="1"/>
    <col min="9" max="9" width="12.7109375" style="269" bestFit="1" customWidth="1"/>
    <col min="10" max="10" width="9.7109375" style="269" bestFit="1" customWidth="1"/>
    <col min="11" max="11" width="9.00390625" style="269" bestFit="1" customWidth="1"/>
    <col min="12" max="12" width="10.57421875" style="269" bestFit="1" customWidth="1"/>
    <col min="13" max="13" width="7.57421875" style="269" bestFit="1" customWidth="1"/>
    <col min="14" max="14" width="8.00390625" style="269" bestFit="1" customWidth="1"/>
    <col min="15" max="15" width="9.00390625" style="269" bestFit="1" customWidth="1"/>
    <col min="16" max="16384" width="11.421875" style="269" customWidth="1"/>
  </cols>
  <sheetData>
    <row r="1" ht="14.25">
      <c r="A1" s="284" t="s">
        <v>120</v>
      </c>
    </row>
    <row r="2" spans="12:15" ht="14.25">
      <c r="L2" s="342" t="s">
        <v>114</v>
      </c>
      <c r="M2" s="342"/>
      <c r="N2" s="342"/>
      <c r="O2" s="342"/>
    </row>
    <row r="3" spans="1:15" ht="14.25">
      <c r="A3" s="269" t="s">
        <v>84</v>
      </c>
      <c r="B3" s="285">
        <f>LEASING!H9</f>
        <v>50000</v>
      </c>
      <c r="D3" s="286" t="s">
        <v>85</v>
      </c>
      <c r="E3" s="286" t="s">
        <v>86</v>
      </c>
      <c r="F3" s="286" t="s">
        <v>87</v>
      </c>
      <c r="G3" s="286" t="s">
        <v>88</v>
      </c>
      <c r="H3" s="286" t="s">
        <v>89</v>
      </c>
      <c r="I3" s="286" t="s">
        <v>90</v>
      </c>
      <c r="J3" s="286" t="s">
        <v>91</v>
      </c>
      <c r="L3" s="286" t="s">
        <v>37</v>
      </c>
      <c r="M3" s="286" t="s">
        <v>115</v>
      </c>
      <c r="N3" s="286" t="s">
        <v>36</v>
      </c>
      <c r="O3" s="271" t="s">
        <v>94</v>
      </c>
    </row>
    <row r="4" spans="1:15" ht="14.25">
      <c r="A4" s="269" t="s">
        <v>95</v>
      </c>
      <c r="B4" s="287"/>
      <c r="D4" s="268">
        <v>1</v>
      </c>
      <c r="E4" s="273">
        <f>(B7-B24)*B10/(100*12)</f>
        <v>305.7115279166666</v>
      </c>
      <c r="F4" s="273">
        <f aca="true" t="shared" si="0" ref="F4:F64">$B$24-E4</f>
        <v>715.1384720833335</v>
      </c>
      <c r="G4" s="273">
        <f>E4+F4</f>
        <v>1020.8500000000001</v>
      </c>
      <c r="H4" s="273">
        <f>E4</f>
        <v>305.7115279166666</v>
      </c>
      <c r="I4" s="273">
        <f>F4</f>
        <v>715.1384720833335</v>
      </c>
      <c r="J4" s="273">
        <f>B7-F4</f>
        <v>49284.86152791667</v>
      </c>
      <c r="K4" s="268"/>
      <c r="L4" s="274">
        <f aca="true" t="shared" si="1" ref="L4:L64">G4/(1+$B$31)</f>
        <v>944.3570767807587</v>
      </c>
      <c r="M4" s="275">
        <f aca="true" t="shared" si="2" ref="M4:M64">F4/(1+$B$31)</f>
        <v>661.5527031298182</v>
      </c>
      <c r="N4" s="275">
        <f aca="true" t="shared" si="3" ref="N4:N64">E4/(1+$B$31)</f>
        <v>282.8043736509405</v>
      </c>
      <c r="O4" s="275">
        <f aca="true" t="shared" si="4" ref="O4:O64">J4/(1+$B$31)</f>
        <v>45591.91630704595</v>
      </c>
    </row>
    <row r="5" spans="1:15" ht="14.25">
      <c r="A5" s="288" t="s">
        <v>96</v>
      </c>
      <c r="B5" s="289">
        <f>B3+B4</f>
        <v>50000</v>
      </c>
      <c r="D5" s="269">
        <v>2</v>
      </c>
      <c r="E5" s="287">
        <f aca="true" t="shared" si="5" ref="E5:E64">(J4-$B$24)*$B$10/(100*12)</f>
        <v>301.24787195341315</v>
      </c>
      <c r="F5" s="287">
        <f t="shared" si="0"/>
        <v>719.6021280465868</v>
      </c>
      <c r="G5" s="287">
        <f>E5+F5</f>
        <v>1020.8499999999999</v>
      </c>
      <c r="H5" s="287">
        <f>H4+E5</f>
        <v>606.9593998700798</v>
      </c>
      <c r="I5" s="287">
        <f>I4+F5</f>
        <v>1434.7406001299203</v>
      </c>
      <c r="J5" s="287">
        <f>J4-F5</f>
        <v>48565.25939987008</v>
      </c>
      <c r="L5" s="274">
        <f t="shared" si="1"/>
        <v>944.3570767807585</v>
      </c>
      <c r="M5" s="274">
        <f t="shared" si="2"/>
        <v>665.6818945851867</v>
      </c>
      <c r="N5" s="274">
        <f t="shared" si="3"/>
        <v>278.67518219557184</v>
      </c>
      <c r="O5" s="275">
        <f t="shared" si="4"/>
        <v>44926.23441246076</v>
      </c>
    </row>
    <row r="6" spans="1:15" ht="14.25">
      <c r="A6" s="269" t="s">
        <v>97</v>
      </c>
      <c r="B6" s="287"/>
      <c r="D6" s="269">
        <v>3</v>
      </c>
      <c r="E6" s="287">
        <f t="shared" si="5"/>
        <v>296.7563553375224</v>
      </c>
      <c r="F6" s="287">
        <f t="shared" si="0"/>
        <v>724.0936446624776</v>
      </c>
      <c r="G6" s="287">
        <f aca="true" t="shared" si="6" ref="G6:G64">E6+F6</f>
        <v>1020.8499999999999</v>
      </c>
      <c r="H6" s="287">
        <f aca="true" t="shared" si="7" ref="H6:I21">H5+E6</f>
        <v>903.7157552076021</v>
      </c>
      <c r="I6" s="287">
        <f t="shared" si="7"/>
        <v>2158.834244792398</v>
      </c>
      <c r="J6" s="287">
        <f aca="true" t="shared" si="8" ref="J6:J64">J5-F6</f>
        <v>47841.16575520761</v>
      </c>
      <c r="L6" s="274">
        <f t="shared" si="1"/>
        <v>944.3570767807585</v>
      </c>
      <c r="M6" s="274">
        <f t="shared" si="2"/>
        <v>669.8368590772226</v>
      </c>
      <c r="N6" s="274">
        <f t="shared" si="3"/>
        <v>274.520217703536</v>
      </c>
      <c r="O6" s="275">
        <f t="shared" si="4"/>
        <v>44256.39755338354</v>
      </c>
    </row>
    <row r="7" spans="1:15" ht="14.25">
      <c r="A7" s="288" t="s">
        <v>98</v>
      </c>
      <c r="B7" s="289">
        <f>B5-B6</f>
        <v>50000</v>
      </c>
      <c r="C7" s="287"/>
      <c r="D7" s="269">
        <v>4</v>
      </c>
      <c r="E7" s="287">
        <f t="shared" si="5"/>
        <v>292.2368041720875</v>
      </c>
      <c r="F7" s="287">
        <f t="shared" si="0"/>
        <v>728.6131958279125</v>
      </c>
      <c r="G7" s="287">
        <f t="shared" si="6"/>
        <v>1020.8499999999999</v>
      </c>
      <c r="H7" s="287">
        <f t="shared" si="7"/>
        <v>1195.9525593796895</v>
      </c>
      <c r="I7" s="287">
        <f t="shared" si="7"/>
        <v>2887.4474406203103</v>
      </c>
      <c r="J7" s="287">
        <f t="shared" si="8"/>
        <v>47112.55255937969</v>
      </c>
      <c r="L7" s="274">
        <f t="shared" si="1"/>
        <v>944.3570767807585</v>
      </c>
      <c r="M7" s="274">
        <f t="shared" si="2"/>
        <v>674.0177574726296</v>
      </c>
      <c r="N7" s="274">
        <f t="shared" si="3"/>
        <v>270.33931930812906</v>
      </c>
      <c r="O7" s="275">
        <f t="shared" si="4"/>
        <v>43582.37979591091</v>
      </c>
    </row>
    <row r="8" spans="1:15" ht="14.25">
      <c r="A8" s="284"/>
      <c r="B8" s="290"/>
      <c r="C8" s="287"/>
      <c r="D8" s="269">
        <v>5</v>
      </c>
      <c r="E8" s="287">
        <f t="shared" si="5"/>
        <v>287.6890434747949</v>
      </c>
      <c r="F8" s="287">
        <f t="shared" si="0"/>
        <v>733.1609565252052</v>
      </c>
      <c r="G8" s="287">
        <f t="shared" si="6"/>
        <v>1020.8500000000001</v>
      </c>
      <c r="H8" s="287">
        <f t="shared" si="7"/>
        <v>1483.6416028544845</v>
      </c>
      <c r="I8" s="287">
        <f t="shared" si="7"/>
        <v>3620.6083971455155</v>
      </c>
      <c r="J8" s="287">
        <f t="shared" si="8"/>
        <v>46379.391602854485</v>
      </c>
      <c r="L8" s="274">
        <f t="shared" si="1"/>
        <v>944.3570767807587</v>
      </c>
      <c r="M8" s="274">
        <f t="shared" si="2"/>
        <v>678.2247516421879</v>
      </c>
      <c r="N8" s="274">
        <f t="shared" si="3"/>
        <v>266.1323251385707</v>
      </c>
      <c r="O8" s="275">
        <f t="shared" si="4"/>
        <v>42904.15504426872</v>
      </c>
    </row>
    <row r="9" spans="1:15" ht="14.25">
      <c r="A9" s="269" t="s">
        <v>99</v>
      </c>
      <c r="B9" s="285">
        <f>LEASING!H13</f>
        <v>48</v>
      </c>
      <c r="D9" s="269">
        <v>6</v>
      </c>
      <c r="E9" s="287">
        <f t="shared" si="5"/>
        <v>283.11289717115005</v>
      </c>
      <c r="F9" s="287">
        <f t="shared" si="0"/>
        <v>737.73710282885</v>
      </c>
      <c r="G9" s="287">
        <f t="shared" si="6"/>
        <v>1020.85</v>
      </c>
      <c r="H9" s="287">
        <f t="shared" si="7"/>
        <v>1766.7545000256346</v>
      </c>
      <c r="I9" s="287">
        <f t="shared" si="7"/>
        <v>4358.345499974365</v>
      </c>
      <c r="J9" s="287">
        <f t="shared" si="8"/>
        <v>45641.65450002564</v>
      </c>
      <c r="L9" s="274">
        <f t="shared" si="1"/>
        <v>944.3570767807586</v>
      </c>
      <c r="M9" s="274">
        <f t="shared" si="2"/>
        <v>682.4580044670213</v>
      </c>
      <c r="N9" s="274">
        <f t="shared" si="3"/>
        <v>261.89907231373735</v>
      </c>
      <c r="O9" s="275">
        <f t="shared" si="4"/>
        <v>42221.6970398017</v>
      </c>
    </row>
    <row r="10" spans="1:15" ht="14.25">
      <c r="A10" s="269" t="s">
        <v>100</v>
      </c>
      <c r="B10" s="285">
        <f>LEASING!H11*100</f>
        <v>7.489999999999999</v>
      </c>
      <c r="C10" s="287"/>
      <c r="D10" s="269">
        <v>7</v>
      </c>
      <c r="E10" s="287">
        <f t="shared" si="5"/>
        <v>278.50818808766</v>
      </c>
      <c r="F10" s="287">
        <f t="shared" si="0"/>
        <v>742.3418119123401</v>
      </c>
      <c r="G10" s="287">
        <f t="shared" si="6"/>
        <v>1020.8500000000001</v>
      </c>
      <c r="H10" s="287">
        <f t="shared" si="7"/>
        <v>2045.2626881132946</v>
      </c>
      <c r="I10" s="287">
        <f t="shared" si="7"/>
        <v>5100.687311886705</v>
      </c>
      <c r="J10" s="287">
        <f t="shared" si="8"/>
        <v>44899.3126881133</v>
      </c>
      <c r="L10" s="274">
        <f t="shared" si="1"/>
        <v>944.3570767807587</v>
      </c>
      <c r="M10" s="274">
        <f t="shared" si="2"/>
        <v>686.7176798449029</v>
      </c>
      <c r="N10" s="274">
        <f t="shared" si="3"/>
        <v>257.6393969358557</v>
      </c>
      <c r="O10" s="275">
        <f t="shared" si="4"/>
        <v>41534.9793599568</v>
      </c>
    </row>
    <row r="11" spans="2:15" ht="14.25">
      <c r="B11" s="287"/>
      <c r="C11" s="287"/>
      <c r="D11" s="269">
        <v>8</v>
      </c>
      <c r="E11" s="287">
        <f t="shared" si="5"/>
        <v>273.87473794497384</v>
      </c>
      <c r="F11" s="287">
        <f t="shared" si="0"/>
        <v>746.9752620550262</v>
      </c>
      <c r="G11" s="287">
        <f t="shared" si="6"/>
        <v>1020.85</v>
      </c>
      <c r="H11" s="287">
        <f t="shared" si="7"/>
        <v>2319.1374260582684</v>
      </c>
      <c r="I11" s="287">
        <f t="shared" si="7"/>
        <v>5847.662573941731</v>
      </c>
      <c r="J11" s="287">
        <f t="shared" si="8"/>
        <v>44152.33742605827</v>
      </c>
      <c r="L11" s="274">
        <f t="shared" si="1"/>
        <v>944.3570767807586</v>
      </c>
      <c r="M11" s="274">
        <f t="shared" si="2"/>
        <v>691.0039426966015</v>
      </c>
      <c r="N11" s="274">
        <f t="shared" si="3"/>
        <v>253.35313408415712</v>
      </c>
      <c r="O11" s="275">
        <f t="shared" si="4"/>
        <v>40843.9754172602</v>
      </c>
    </row>
    <row r="12" spans="1:15" ht="14.25">
      <c r="A12" s="269" t="s">
        <v>101</v>
      </c>
      <c r="B12" s="285">
        <f>LEASING!H17</f>
        <v>0</v>
      </c>
      <c r="C12" s="287"/>
      <c r="D12" s="269">
        <v>9</v>
      </c>
      <c r="E12" s="287">
        <f t="shared" si="5"/>
        <v>269.21236735098034</v>
      </c>
      <c r="F12" s="287">
        <f t="shared" si="0"/>
        <v>751.6376326490197</v>
      </c>
      <c r="G12" s="287">
        <f t="shared" si="6"/>
        <v>1020.85</v>
      </c>
      <c r="H12" s="287">
        <f t="shared" si="7"/>
        <v>2588.349793409249</v>
      </c>
      <c r="I12" s="287">
        <f t="shared" si="7"/>
        <v>6599.300206590751</v>
      </c>
      <c r="J12" s="287">
        <f t="shared" si="8"/>
        <v>43400.69979340925</v>
      </c>
      <c r="L12" s="274">
        <f t="shared" si="1"/>
        <v>944.3570767807586</v>
      </c>
      <c r="M12" s="274">
        <f t="shared" si="2"/>
        <v>695.3169589722661</v>
      </c>
      <c r="N12" s="274">
        <f t="shared" si="3"/>
        <v>249.04011780849245</v>
      </c>
      <c r="O12" s="275">
        <f t="shared" si="4"/>
        <v>40148.65845828793</v>
      </c>
    </row>
    <row r="13" spans="1:15" ht="14.25">
      <c r="A13" s="269" t="s">
        <v>102</v>
      </c>
      <c r="B13" s="287">
        <v>0</v>
      </c>
      <c r="C13" s="287"/>
      <c r="D13" s="269">
        <v>10</v>
      </c>
      <c r="E13" s="287">
        <f t="shared" si="5"/>
        <v>264.52089579386273</v>
      </c>
      <c r="F13" s="287">
        <f t="shared" si="0"/>
        <v>756.3291042061373</v>
      </c>
      <c r="G13" s="287">
        <f t="shared" si="6"/>
        <v>1020.8500000000001</v>
      </c>
      <c r="H13" s="287">
        <f t="shared" si="7"/>
        <v>2852.8706892031114</v>
      </c>
      <c r="I13" s="287">
        <f t="shared" si="7"/>
        <v>7355.629310796889</v>
      </c>
      <c r="J13" s="287">
        <f t="shared" si="8"/>
        <v>42644.37068920311</v>
      </c>
      <c r="L13" s="274">
        <f t="shared" si="1"/>
        <v>944.3570767807587</v>
      </c>
      <c r="M13" s="274">
        <f t="shared" si="2"/>
        <v>699.6568956578515</v>
      </c>
      <c r="N13" s="274">
        <f t="shared" si="3"/>
        <v>244.70018112290725</v>
      </c>
      <c r="O13" s="275">
        <f t="shared" si="4"/>
        <v>39449.001562630074</v>
      </c>
    </row>
    <row r="14" spans="1:15" ht="14.25">
      <c r="A14" s="269" t="s">
        <v>103</v>
      </c>
      <c r="B14" s="287">
        <f>B12-B13</f>
        <v>0</v>
      </c>
      <c r="C14" s="287"/>
      <c r="D14" s="269">
        <v>11</v>
      </c>
      <c r="E14" s="287">
        <f t="shared" si="5"/>
        <v>259.8001416351094</v>
      </c>
      <c r="F14" s="287">
        <f t="shared" si="0"/>
        <v>761.0498583648906</v>
      </c>
      <c r="G14" s="287">
        <f t="shared" si="6"/>
        <v>1020.85</v>
      </c>
      <c r="H14" s="287">
        <f t="shared" si="7"/>
        <v>3112.670830838221</v>
      </c>
      <c r="I14" s="287">
        <f t="shared" si="7"/>
        <v>8116.679169161779</v>
      </c>
      <c r="J14" s="287">
        <f t="shared" si="8"/>
        <v>41883.32083083822</v>
      </c>
      <c r="L14" s="274">
        <f t="shared" si="1"/>
        <v>944.3570767807586</v>
      </c>
      <c r="M14" s="274">
        <f t="shared" si="2"/>
        <v>704.0239207815824</v>
      </c>
      <c r="N14" s="274">
        <f t="shared" si="3"/>
        <v>240.33315599917614</v>
      </c>
      <c r="O14" s="275">
        <f t="shared" si="4"/>
        <v>38744.9776418485</v>
      </c>
    </row>
    <row r="15" spans="2:15" ht="14.25">
      <c r="B15" s="287"/>
      <c r="C15" s="287"/>
      <c r="D15" s="269">
        <v>12</v>
      </c>
      <c r="E15" s="287">
        <f t="shared" si="5"/>
        <v>255.0499221024819</v>
      </c>
      <c r="F15" s="287">
        <f t="shared" si="0"/>
        <v>765.8000778975181</v>
      </c>
      <c r="G15" s="287">
        <f t="shared" si="6"/>
        <v>1020.85</v>
      </c>
      <c r="H15" s="287">
        <f t="shared" si="7"/>
        <v>3367.720752940703</v>
      </c>
      <c r="I15" s="287">
        <f t="shared" si="7"/>
        <v>8882.479247059297</v>
      </c>
      <c r="J15" s="287">
        <f t="shared" si="8"/>
        <v>41117.520752940705</v>
      </c>
      <c r="L15" s="274">
        <f t="shared" si="1"/>
        <v>944.3570767807586</v>
      </c>
      <c r="M15" s="274">
        <f t="shared" si="2"/>
        <v>708.4182034204608</v>
      </c>
      <c r="N15" s="274">
        <f t="shared" si="3"/>
        <v>235.93887336029778</v>
      </c>
      <c r="O15" s="275">
        <f t="shared" si="4"/>
        <v>38036.559438428034</v>
      </c>
    </row>
    <row r="16" spans="1:15" ht="14.25">
      <c r="A16" s="269" t="s">
        <v>35</v>
      </c>
      <c r="B16" s="285">
        <f>LEASING!H15</f>
        <v>1000</v>
      </c>
      <c r="C16" s="287"/>
      <c r="D16" s="269">
        <v>13</v>
      </c>
      <c r="E16" s="287">
        <f t="shared" si="5"/>
        <v>250.27005328293822</v>
      </c>
      <c r="F16" s="287">
        <f t="shared" si="0"/>
        <v>770.5799467170618</v>
      </c>
      <c r="G16" s="287">
        <f t="shared" si="6"/>
        <v>1020.85</v>
      </c>
      <c r="H16" s="287">
        <f t="shared" si="7"/>
        <v>3617.990806223641</v>
      </c>
      <c r="I16" s="287">
        <f t="shared" si="7"/>
        <v>9653.059193776358</v>
      </c>
      <c r="J16" s="287">
        <f t="shared" si="8"/>
        <v>40346.94080622365</v>
      </c>
      <c r="L16" s="274">
        <f t="shared" si="1"/>
        <v>944.3570767807586</v>
      </c>
      <c r="M16" s="274">
        <f t="shared" si="2"/>
        <v>712.8399137068102</v>
      </c>
      <c r="N16" s="274">
        <f t="shared" si="3"/>
        <v>231.5171630739484</v>
      </c>
      <c r="O16" s="275">
        <f t="shared" si="4"/>
        <v>37323.71952472123</v>
      </c>
    </row>
    <row r="17" spans="1:15" ht="14.25">
      <c r="A17" s="269" t="s">
        <v>104</v>
      </c>
      <c r="B17" s="287">
        <f>B16</f>
        <v>1000</v>
      </c>
      <c r="C17" s="287"/>
      <c r="D17" s="269">
        <v>14</v>
      </c>
      <c r="E17" s="287">
        <f t="shared" si="5"/>
        <v>245.4603501155126</v>
      </c>
      <c r="F17" s="287">
        <f t="shared" si="0"/>
        <v>775.3896498844874</v>
      </c>
      <c r="G17" s="287">
        <f t="shared" si="6"/>
        <v>1020.85</v>
      </c>
      <c r="H17" s="287">
        <f t="shared" si="7"/>
        <v>3863.4511563391534</v>
      </c>
      <c r="I17" s="287">
        <f t="shared" si="7"/>
        <v>10428.448843660846</v>
      </c>
      <c r="J17" s="287">
        <f t="shared" si="8"/>
        <v>39571.55115633916</v>
      </c>
      <c r="L17" s="274">
        <f t="shared" si="1"/>
        <v>944.3570767807586</v>
      </c>
      <c r="M17" s="274">
        <f t="shared" si="2"/>
        <v>717.2892228348635</v>
      </c>
      <c r="N17" s="274">
        <f t="shared" si="3"/>
        <v>227.0678539458951</v>
      </c>
      <c r="O17" s="275">
        <f t="shared" si="4"/>
        <v>36606.43030188637</v>
      </c>
    </row>
    <row r="18" spans="2:15" ht="14.25">
      <c r="B18" s="287"/>
      <c r="C18" s="287"/>
      <c r="D18" s="269">
        <v>15</v>
      </c>
      <c r="E18" s="287">
        <f t="shared" si="5"/>
        <v>240.62062638415028</v>
      </c>
      <c r="F18" s="287">
        <f t="shared" si="0"/>
        <v>780.2293736158497</v>
      </c>
      <c r="G18" s="287">
        <f t="shared" si="6"/>
        <v>1020.8499999999999</v>
      </c>
      <c r="H18" s="287">
        <f t="shared" si="7"/>
        <v>4104.071782723304</v>
      </c>
      <c r="I18" s="287">
        <f t="shared" si="7"/>
        <v>11208.678217276696</v>
      </c>
      <c r="J18" s="287">
        <f t="shared" si="8"/>
        <v>38791.32178272332</v>
      </c>
      <c r="L18" s="274">
        <f t="shared" si="1"/>
        <v>944.3570767807585</v>
      </c>
      <c r="M18" s="274">
        <f t="shared" si="2"/>
        <v>721.766303067391</v>
      </c>
      <c r="N18" s="274">
        <f t="shared" si="3"/>
        <v>222.59077371336753</v>
      </c>
      <c r="O18" s="275">
        <f t="shared" si="4"/>
        <v>35884.66399881898</v>
      </c>
    </row>
    <row r="19" spans="2:15" ht="14.25">
      <c r="B19" s="287"/>
      <c r="C19" s="287"/>
      <c r="D19" s="269">
        <v>16</v>
      </c>
      <c r="E19" s="287">
        <f t="shared" si="5"/>
        <v>235.750694710498</v>
      </c>
      <c r="F19" s="287">
        <f t="shared" si="0"/>
        <v>785.099305289502</v>
      </c>
      <c r="G19" s="287">
        <f t="shared" si="6"/>
        <v>1020.85</v>
      </c>
      <c r="H19" s="287">
        <f t="shared" si="7"/>
        <v>4339.822477433801</v>
      </c>
      <c r="I19" s="287">
        <f t="shared" si="7"/>
        <v>11993.777522566199</v>
      </c>
      <c r="J19" s="287">
        <f t="shared" si="8"/>
        <v>38006.22247743382</v>
      </c>
      <c r="L19" s="274">
        <f t="shared" si="1"/>
        <v>944.3570767807586</v>
      </c>
      <c r="M19" s="274">
        <f t="shared" si="2"/>
        <v>726.2713277423701</v>
      </c>
      <c r="N19" s="274">
        <f t="shared" si="3"/>
        <v>218.08574903838854</v>
      </c>
      <c r="O19" s="275">
        <f t="shared" si="4"/>
        <v>35158.39267107661</v>
      </c>
    </row>
    <row r="20" spans="4:15" ht="14.25">
      <c r="D20" s="269">
        <v>17</v>
      </c>
      <c r="E20" s="287">
        <f t="shared" si="5"/>
        <v>230.8503665466494</v>
      </c>
      <c r="F20" s="287">
        <f t="shared" si="0"/>
        <v>789.9996334533506</v>
      </c>
      <c r="G20" s="287">
        <f t="shared" si="6"/>
        <v>1020.85</v>
      </c>
      <c r="H20" s="287">
        <f t="shared" si="7"/>
        <v>4570.672843980451</v>
      </c>
      <c r="I20" s="287">
        <f t="shared" si="7"/>
        <v>12783.777156019549</v>
      </c>
      <c r="J20" s="287">
        <f t="shared" si="8"/>
        <v>37216.22284398047</v>
      </c>
      <c r="L20" s="274">
        <f t="shared" si="1"/>
        <v>944.3570767807586</v>
      </c>
      <c r="M20" s="274">
        <f t="shared" si="2"/>
        <v>730.8044712796953</v>
      </c>
      <c r="N20" s="274">
        <f t="shared" si="3"/>
        <v>213.55260550106328</v>
      </c>
      <c r="O20" s="275">
        <f t="shared" si="4"/>
        <v>34427.58819979692</v>
      </c>
    </row>
    <row r="21" spans="4:15" ht="14.25">
      <c r="D21" s="269">
        <v>18</v>
      </c>
      <c r="E21" s="287">
        <f t="shared" si="5"/>
        <v>225.91945216784472</v>
      </c>
      <c r="F21" s="287">
        <f t="shared" si="0"/>
        <v>794.9305478321553</v>
      </c>
      <c r="G21" s="287">
        <f t="shared" si="6"/>
        <v>1020.85</v>
      </c>
      <c r="H21" s="287">
        <f t="shared" si="7"/>
        <v>4796.592296148296</v>
      </c>
      <c r="I21" s="287">
        <f t="shared" si="7"/>
        <v>13578.707703851704</v>
      </c>
      <c r="J21" s="287">
        <f t="shared" si="8"/>
        <v>36421.29229614831</v>
      </c>
      <c r="L21" s="274">
        <f t="shared" si="1"/>
        <v>944.3570767807586</v>
      </c>
      <c r="M21" s="274">
        <f t="shared" si="2"/>
        <v>735.3659091879327</v>
      </c>
      <c r="N21" s="274">
        <f t="shared" si="3"/>
        <v>208.99116759282583</v>
      </c>
      <c r="O21" s="275">
        <f t="shared" si="4"/>
        <v>33692.22229060899</v>
      </c>
    </row>
    <row r="22" spans="4:15" ht="14.25">
      <c r="D22" s="269">
        <v>19</v>
      </c>
      <c r="E22" s="287">
        <f t="shared" si="5"/>
        <v>220.95776066512573</v>
      </c>
      <c r="F22" s="287">
        <f t="shared" si="0"/>
        <v>799.8922393348743</v>
      </c>
      <c r="G22" s="287">
        <f t="shared" si="6"/>
        <v>1020.85</v>
      </c>
      <c r="H22" s="287">
        <f aca="true" t="shared" si="9" ref="H22:I37">H21+E22</f>
        <v>5017.550056813421</v>
      </c>
      <c r="I22" s="287">
        <f t="shared" si="9"/>
        <v>14378.599943186578</v>
      </c>
      <c r="J22" s="287">
        <f t="shared" si="8"/>
        <v>35621.400056813436</v>
      </c>
      <c r="L22" s="274">
        <f t="shared" si="1"/>
        <v>944.3570767807586</v>
      </c>
      <c r="M22" s="274">
        <f t="shared" si="2"/>
        <v>739.9558180711141</v>
      </c>
      <c r="N22" s="274">
        <f t="shared" si="3"/>
        <v>204.40125870964454</v>
      </c>
      <c r="O22" s="275">
        <f t="shared" si="4"/>
        <v>32952.26647253787</v>
      </c>
    </row>
    <row r="23" spans="3:15" ht="14.25">
      <c r="C23" s="287"/>
      <c r="D23" s="269">
        <v>20</v>
      </c>
      <c r="E23" s="287">
        <f t="shared" si="5"/>
        <v>215.96509993794388</v>
      </c>
      <c r="F23" s="287">
        <f t="shared" si="0"/>
        <v>804.8849000620562</v>
      </c>
      <c r="G23" s="287">
        <f t="shared" si="6"/>
        <v>1020.8500000000001</v>
      </c>
      <c r="H23" s="287">
        <f t="shared" si="9"/>
        <v>5233.515156751365</v>
      </c>
      <c r="I23" s="287">
        <f t="shared" si="9"/>
        <v>15183.484843248634</v>
      </c>
      <c r="J23" s="287">
        <f t="shared" si="8"/>
        <v>34816.51515675138</v>
      </c>
      <c r="L23" s="274">
        <f t="shared" si="1"/>
        <v>944.3570767807587</v>
      </c>
      <c r="M23" s="274">
        <f t="shared" si="2"/>
        <v>744.5743756355747</v>
      </c>
      <c r="N23" s="274">
        <f t="shared" si="3"/>
        <v>199.78270114518398</v>
      </c>
      <c r="O23" s="275">
        <f t="shared" si="4"/>
        <v>32207.692096902298</v>
      </c>
    </row>
    <row r="24" spans="1:15" ht="14.25">
      <c r="A24" s="269" t="s">
        <v>108</v>
      </c>
      <c r="B24" s="291">
        <f>MROUND(IF(B12&gt;0,(B7-B12-B16)/(B9-1),(B7-B12-B16)/B9),0.05)</f>
        <v>1020.85</v>
      </c>
      <c r="C24" s="287"/>
      <c r="D24" s="269">
        <v>21</v>
      </c>
      <c r="E24" s="287">
        <f t="shared" si="5"/>
        <v>210.9412766867232</v>
      </c>
      <c r="F24" s="287">
        <f t="shared" si="0"/>
        <v>809.9087233132768</v>
      </c>
      <c r="G24" s="287">
        <f t="shared" si="6"/>
        <v>1020.85</v>
      </c>
      <c r="H24" s="287">
        <f t="shared" si="9"/>
        <v>5444.456433438088</v>
      </c>
      <c r="I24" s="287">
        <f t="shared" si="9"/>
        <v>15993.39356656191</v>
      </c>
      <c r="J24" s="287">
        <f t="shared" si="8"/>
        <v>34006.60643343811</v>
      </c>
      <c r="L24" s="274">
        <f t="shared" si="1"/>
        <v>944.3570767807586</v>
      </c>
      <c r="M24" s="274">
        <f t="shared" si="2"/>
        <v>749.2217606968334</v>
      </c>
      <c r="N24" s="274">
        <f t="shared" si="3"/>
        <v>195.13531608392526</v>
      </c>
      <c r="O24" s="275">
        <f t="shared" si="4"/>
        <v>31458.470336205468</v>
      </c>
    </row>
    <row r="25" spans="1:15" ht="14.25">
      <c r="A25" s="269" t="s">
        <v>109</v>
      </c>
      <c r="B25" s="311">
        <f>B24*0.0597</f>
        <v>60.944745000000005</v>
      </c>
      <c r="D25" s="269">
        <v>22</v>
      </c>
      <c r="E25" s="287">
        <f t="shared" si="5"/>
        <v>205.88609640537618</v>
      </c>
      <c r="F25" s="287">
        <f t="shared" si="0"/>
        <v>814.9639035946238</v>
      </c>
      <c r="G25" s="287">
        <f t="shared" si="6"/>
        <v>1020.85</v>
      </c>
      <c r="H25" s="287">
        <f t="shared" si="9"/>
        <v>5650.342529843465</v>
      </c>
      <c r="I25" s="287">
        <f t="shared" si="9"/>
        <v>16808.357470156534</v>
      </c>
      <c r="J25" s="287">
        <f t="shared" si="8"/>
        <v>33191.642529843484</v>
      </c>
      <c r="L25" s="274">
        <f t="shared" si="1"/>
        <v>944.3570767807586</v>
      </c>
      <c r="M25" s="274">
        <f t="shared" si="2"/>
        <v>753.8981531865161</v>
      </c>
      <c r="N25" s="274">
        <f t="shared" si="3"/>
        <v>190.45892359424255</v>
      </c>
      <c r="O25" s="275">
        <f t="shared" si="4"/>
        <v>30704.57218301895</v>
      </c>
    </row>
    <row r="26" spans="1:15" ht="14.25">
      <c r="A26" s="269" t="s">
        <v>110</v>
      </c>
      <c r="B26" s="291">
        <f>MROUND(B24+B25,0.05)</f>
        <v>1081.8</v>
      </c>
      <c r="D26" s="269">
        <v>23</v>
      </c>
      <c r="E26" s="287">
        <f t="shared" si="5"/>
        <v>200.79936337377305</v>
      </c>
      <c r="F26" s="287">
        <f t="shared" si="0"/>
        <v>820.050636626227</v>
      </c>
      <c r="G26" s="287">
        <f t="shared" si="6"/>
        <v>1020.85</v>
      </c>
      <c r="H26" s="287">
        <f t="shared" si="9"/>
        <v>5851.141893217238</v>
      </c>
      <c r="I26" s="287">
        <f t="shared" si="9"/>
        <v>17628.40810678276</v>
      </c>
      <c r="J26" s="287">
        <f t="shared" si="8"/>
        <v>32371.591893217257</v>
      </c>
      <c r="L26" s="274">
        <f t="shared" si="1"/>
        <v>944.3570767807586</v>
      </c>
      <c r="M26" s="274">
        <f t="shared" si="2"/>
        <v>758.6037341593219</v>
      </c>
      <c r="N26" s="274">
        <f t="shared" si="3"/>
        <v>185.75334262143667</v>
      </c>
      <c r="O26" s="275">
        <f t="shared" si="4"/>
        <v>29945.96844885963</v>
      </c>
    </row>
    <row r="27" spans="4:15" ht="14.25">
      <c r="D27" s="269">
        <v>24</v>
      </c>
      <c r="E27" s="287">
        <f t="shared" si="5"/>
        <v>195.68088065016437</v>
      </c>
      <c r="F27" s="287">
        <f t="shared" si="0"/>
        <v>825.1691193498357</v>
      </c>
      <c r="G27" s="287">
        <f t="shared" si="6"/>
        <v>1020.85</v>
      </c>
      <c r="H27" s="287">
        <f t="shared" si="9"/>
        <v>6046.822773867402</v>
      </c>
      <c r="I27" s="287">
        <f t="shared" si="9"/>
        <v>18453.5772261326</v>
      </c>
      <c r="J27" s="287">
        <f t="shared" si="8"/>
        <v>31546.42277386742</v>
      </c>
      <c r="L27" s="274">
        <f t="shared" si="1"/>
        <v>944.3570767807586</v>
      </c>
      <c r="M27" s="274">
        <f t="shared" si="2"/>
        <v>763.3386858000331</v>
      </c>
      <c r="N27" s="274">
        <f t="shared" si="3"/>
        <v>181.0183909807256</v>
      </c>
      <c r="O27" s="275">
        <f t="shared" si="4"/>
        <v>29182.629763059595</v>
      </c>
    </row>
    <row r="28" spans="1:15" ht="14.25">
      <c r="A28" s="269" t="s">
        <v>111</v>
      </c>
      <c r="B28" s="292">
        <f>((B24*B9)-(B7-B16))</f>
        <v>0.8000000000029104</v>
      </c>
      <c r="C28" s="281">
        <f>B28/(1+B31)</f>
        <v>0.7400555041655046</v>
      </c>
      <c r="D28" s="269">
        <v>25</v>
      </c>
      <c r="E28" s="287">
        <f t="shared" si="5"/>
        <v>190.5304500635558</v>
      </c>
      <c r="F28" s="287">
        <f t="shared" si="0"/>
        <v>830.3195499364442</v>
      </c>
      <c r="G28" s="287">
        <f t="shared" si="6"/>
        <v>1020.85</v>
      </c>
      <c r="H28" s="287">
        <f t="shared" si="9"/>
        <v>6237.353223930958</v>
      </c>
      <c r="I28" s="287">
        <f t="shared" si="9"/>
        <v>19283.896776069043</v>
      </c>
      <c r="J28" s="287">
        <f t="shared" si="8"/>
        <v>30716.103223930975</v>
      </c>
      <c r="L28" s="274">
        <f t="shared" si="1"/>
        <v>944.3570767807586</v>
      </c>
      <c r="M28" s="274">
        <f t="shared" si="2"/>
        <v>768.1031914305682</v>
      </c>
      <c r="N28" s="274">
        <f t="shared" si="3"/>
        <v>176.2538853501904</v>
      </c>
      <c r="O28" s="275">
        <f t="shared" si="4"/>
        <v>28414.526571629027</v>
      </c>
    </row>
    <row r="29" spans="1:15" ht="14.25">
      <c r="A29" s="269" t="s">
        <v>112</v>
      </c>
      <c r="B29" s="292">
        <f>B28/B9*12</f>
        <v>0.2000000000007276</v>
      </c>
      <c r="C29" s="281">
        <f>B29/(1+B31)</f>
        <v>0.18501387604137615</v>
      </c>
      <c r="D29" s="269">
        <v>26</v>
      </c>
      <c r="E29" s="287">
        <f t="shared" si="5"/>
        <v>185.34787220603582</v>
      </c>
      <c r="F29" s="287">
        <f t="shared" si="0"/>
        <v>835.5021277939642</v>
      </c>
      <c r="G29" s="287">
        <f t="shared" si="6"/>
        <v>1020.85</v>
      </c>
      <c r="H29" s="287">
        <f t="shared" si="9"/>
        <v>6422.701096136993</v>
      </c>
      <c r="I29" s="287">
        <f t="shared" si="9"/>
        <v>20119.398903863006</v>
      </c>
      <c r="J29" s="287">
        <f t="shared" si="8"/>
        <v>29880.601096137012</v>
      </c>
      <c r="L29" s="274">
        <f t="shared" si="1"/>
        <v>944.3570767807586</v>
      </c>
      <c r="M29" s="274">
        <f t="shared" si="2"/>
        <v>772.8974355170807</v>
      </c>
      <c r="N29" s="274">
        <f t="shared" si="3"/>
        <v>171.45964126367792</v>
      </c>
      <c r="O29" s="275">
        <f t="shared" si="4"/>
        <v>27641.629136111944</v>
      </c>
    </row>
    <row r="30" spans="4:15" ht="14.25">
      <c r="D30" s="269">
        <v>27</v>
      </c>
      <c r="E30" s="287">
        <f t="shared" si="5"/>
        <v>180.13294642505517</v>
      </c>
      <c r="F30" s="287">
        <f t="shared" si="0"/>
        <v>840.7170535749449</v>
      </c>
      <c r="G30" s="287">
        <f t="shared" si="6"/>
        <v>1020.85</v>
      </c>
      <c r="H30" s="287">
        <f t="shared" si="9"/>
        <v>6602.834042562048</v>
      </c>
      <c r="I30" s="287">
        <f t="shared" si="9"/>
        <v>20960.115957437953</v>
      </c>
      <c r="J30" s="287">
        <f t="shared" si="8"/>
        <v>29039.884042562066</v>
      </c>
      <c r="L30" s="274">
        <f t="shared" si="1"/>
        <v>944.3570767807586</v>
      </c>
      <c r="M30" s="274">
        <f t="shared" si="2"/>
        <v>777.7216036770998</v>
      </c>
      <c r="N30" s="274">
        <f t="shared" si="3"/>
        <v>166.6354731036588</v>
      </c>
      <c r="O30" s="275">
        <f t="shared" si="4"/>
        <v>26863.907532434845</v>
      </c>
    </row>
    <row r="31" spans="1:15" ht="14.25">
      <c r="A31" s="269" t="s">
        <v>8</v>
      </c>
      <c r="B31" s="293">
        <v>0.081</v>
      </c>
      <c r="D31" s="269">
        <v>28</v>
      </c>
      <c r="E31" s="287">
        <f t="shared" si="5"/>
        <v>174.8854708156582</v>
      </c>
      <c r="F31" s="287">
        <f t="shared" si="0"/>
        <v>845.9645291843418</v>
      </c>
      <c r="G31" s="287">
        <f t="shared" si="6"/>
        <v>1020.85</v>
      </c>
      <c r="H31" s="287">
        <f t="shared" si="9"/>
        <v>6777.719513377706</v>
      </c>
      <c r="I31" s="287">
        <f t="shared" si="9"/>
        <v>21806.080486622293</v>
      </c>
      <c r="J31" s="287">
        <f t="shared" si="8"/>
        <v>28193.919513377725</v>
      </c>
      <c r="L31" s="274">
        <f t="shared" si="1"/>
        <v>944.3570767807586</v>
      </c>
      <c r="M31" s="274">
        <f t="shared" si="2"/>
        <v>782.5758826867177</v>
      </c>
      <c r="N31" s="274">
        <f t="shared" si="3"/>
        <v>161.7811940940409</v>
      </c>
      <c r="O31" s="275">
        <f t="shared" si="4"/>
        <v>26081.33164974813</v>
      </c>
    </row>
    <row r="32" spans="4:15" ht="14.25">
      <c r="D32" s="269">
        <v>29</v>
      </c>
      <c r="E32" s="287">
        <f t="shared" si="5"/>
        <v>169.60524221266596</v>
      </c>
      <c r="F32" s="287">
        <f t="shared" si="0"/>
        <v>851.244757787334</v>
      </c>
      <c r="G32" s="287">
        <f t="shared" si="6"/>
        <v>1020.85</v>
      </c>
      <c r="H32" s="287">
        <f t="shared" si="9"/>
        <v>6947.324755590372</v>
      </c>
      <c r="I32" s="287">
        <f t="shared" si="9"/>
        <v>22657.32524440963</v>
      </c>
      <c r="J32" s="287">
        <f t="shared" si="8"/>
        <v>27342.67475559039</v>
      </c>
      <c r="L32" s="274">
        <f t="shared" si="1"/>
        <v>944.3570767807586</v>
      </c>
      <c r="M32" s="274">
        <f t="shared" si="2"/>
        <v>787.4604604878206</v>
      </c>
      <c r="N32" s="274">
        <f t="shared" si="3"/>
        <v>156.89661629293798</v>
      </c>
      <c r="O32" s="275">
        <f t="shared" si="4"/>
        <v>25293.871189260306</v>
      </c>
    </row>
    <row r="33" spans="2:15" ht="14.25">
      <c r="B33" s="281"/>
      <c r="D33" s="269">
        <v>30</v>
      </c>
      <c r="E33" s="287">
        <f t="shared" si="5"/>
        <v>164.29205618281</v>
      </c>
      <c r="F33" s="287">
        <f t="shared" si="0"/>
        <v>856.55794381719</v>
      </c>
      <c r="G33" s="287">
        <f t="shared" si="6"/>
        <v>1020.85</v>
      </c>
      <c r="H33" s="287">
        <f t="shared" si="9"/>
        <v>7111.616811773181</v>
      </c>
      <c r="I33" s="287">
        <f t="shared" si="9"/>
        <v>23513.88318822682</v>
      </c>
      <c r="J33" s="287">
        <f t="shared" si="8"/>
        <v>26486.116811773198</v>
      </c>
      <c r="L33" s="274">
        <f t="shared" si="1"/>
        <v>944.3570767807586</v>
      </c>
      <c r="M33" s="274">
        <f t="shared" si="2"/>
        <v>792.3755261953654</v>
      </c>
      <c r="N33" s="274">
        <f t="shared" si="3"/>
        <v>151.98155058539317</v>
      </c>
      <c r="O33" s="275">
        <f t="shared" si="4"/>
        <v>24501.49566306494</v>
      </c>
    </row>
    <row r="34" spans="4:15" ht="14.25">
      <c r="D34" s="269">
        <v>31</v>
      </c>
      <c r="E34" s="287">
        <f t="shared" si="5"/>
        <v>158.94570701681772</v>
      </c>
      <c r="F34" s="287">
        <f t="shared" si="0"/>
        <v>861.9042929831824</v>
      </c>
      <c r="G34" s="287">
        <f t="shared" si="6"/>
        <v>1020.8500000000001</v>
      </c>
      <c r="H34" s="287">
        <f t="shared" si="9"/>
        <v>7270.562518789999</v>
      </c>
      <c r="I34" s="287">
        <f t="shared" si="9"/>
        <v>24375.78748121</v>
      </c>
      <c r="J34" s="287">
        <f t="shared" si="8"/>
        <v>25624.212518790016</v>
      </c>
      <c r="L34" s="274">
        <f t="shared" si="1"/>
        <v>944.3570767807587</v>
      </c>
      <c r="M34" s="274">
        <f t="shared" si="2"/>
        <v>797.3212701047015</v>
      </c>
      <c r="N34" s="274">
        <f t="shared" si="3"/>
        <v>147.0358066760571</v>
      </c>
      <c r="O34" s="275">
        <f t="shared" si="4"/>
        <v>23704.174392960238</v>
      </c>
    </row>
    <row r="35" spans="4:15" ht="14.25">
      <c r="D35" s="269">
        <v>32</v>
      </c>
      <c r="E35" s="287">
        <f t="shared" si="5"/>
        <v>153.56598772144767</v>
      </c>
      <c r="F35" s="287">
        <f t="shared" si="0"/>
        <v>867.2840122785524</v>
      </c>
      <c r="G35" s="287">
        <f t="shared" si="6"/>
        <v>1020.85</v>
      </c>
      <c r="H35" s="287">
        <f t="shared" si="9"/>
        <v>7424.128506511446</v>
      </c>
      <c r="I35" s="287">
        <f t="shared" si="9"/>
        <v>25243.071493488555</v>
      </c>
      <c r="J35" s="287">
        <f t="shared" si="8"/>
        <v>24756.928506511464</v>
      </c>
      <c r="L35" s="274">
        <f t="shared" si="1"/>
        <v>944.3570767807586</v>
      </c>
      <c r="M35" s="274">
        <f t="shared" si="2"/>
        <v>802.2978836989384</v>
      </c>
      <c r="N35" s="274">
        <f t="shared" si="3"/>
        <v>142.05919308182024</v>
      </c>
      <c r="O35" s="275">
        <f t="shared" si="4"/>
        <v>22901.8765092613</v>
      </c>
    </row>
    <row r="36" spans="4:15" ht="14.25">
      <c r="D36" s="269">
        <v>33</v>
      </c>
      <c r="E36" s="287">
        <f t="shared" si="5"/>
        <v>148.15269001147573</v>
      </c>
      <c r="F36" s="287">
        <f t="shared" si="0"/>
        <v>872.6973099885242</v>
      </c>
      <c r="G36" s="287">
        <f t="shared" si="6"/>
        <v>1020.8499999999999</v>
      </c>
      <c r="H36" s="287">
        <f t="shared" si="9"/>
        <v>7572.281196522922</v>
      </c>
      <c r="I36" s="287">
        <f t="shared" si="9"/>
        <v>26115.76880347708</v>
      </c>
      <c r="J36" s="287">
        <f t="shared" si="8"/>
        <v>23884.23119652294</v>
      </c>
      <c r="L36" s="274">
        <f t="shared" si="1"/>
        <v>944.3570767807585</v>
      </c>
      <c r="M36" s="274">
        <f t="shared" si="2"/>
        <v>807.3055596563592</v>
      </c>
      <c r="N36" s="274">
        <f t="shared" si="3"/>
        <v>137.0515171243994</v>
      </c>
      <c r="O36" s="275">
        <f t="shared" si="4"/>
        <v>22094.57094960494</v>
      </c>
    </row>
    <row r="37" spans="4:15" ht="14.25">
      <c r="D37" s="269">
        <v>34</v>
      </c>
      <c r="E37" s="287">
        <f t="shared" si="5"/>
        <v>142.70560430163067</v>
      </c>
      <c r="F37" s="287">
        <f t="shared" si="0"/>
        <v>878.1443956983694</v>
      </c>
      <c r="G37" s="287">
        <f t="shared" si="6"/>
        <v>1020.8500000000001</v>
      </c>
      <c r="H37" s="287">
        <f t="shared" si="9"/>
        <v>7714.986800824553</v>
      </c>
      <c r="I37" s="287">
        <f t="shared" si="9"/>
        <v>26993.913199175448</v>
      </c>
      <c r="J37" s="287">
        <f t="shared" si="8"/>
        <v>23006.086800824567</v>
      </c>
      <c r="L37" s="274">
        <f t="shared" si="1"/>
        <v>944.3570767807587</v>
      </c>
      <c r="M37" s="274">
        <f t="shared" si="2"/>
        <v>812.344491857881</v>
      </c>
      <c r="N37" s="274">
        <f t="shared" si="3"/>
        <v>132.01258492287758</v>
      </c>
      <c r="O37" s="275">
        <f t="shared" si="4"/>
        <v>21282.226457747056</v>
      </c>
    </row>
    <row r="38" spans="4:15" ht="14.25">
      <c r="D38" s="269">
        <v>35</v>
      </c>
      <c r="E38" s="287">
        <f t="shared" si="5"/>
        <v>137.22451969848</v>
      </c>
      <c r="F38" s="287">
        <f t="shared" si="0"/>
        <v>883.62548030152</v>
      </c>
      <c r="G38" s="287">
        <f t="shared" si="6"/>
        <v>1020.85</v>
      </c>
      <c r="H38" s="287">
        <f aca="true" t="shared" si="10" ref="H38:I53">H37+E38</f>
        <v>7852.2113205230335</v>
      </c>
      <c r="I38" s="287">
        <f t="shared" si="10"/>
        <v>27877.53867947697</v>
      </c>
      <c r="J38" s="287">
        <f t="shared" si="8"/>
        <v>22122.461320523045</v>
      </c>
      <c r="L38" s="274">
        <f t="shared" si="1"/>
        <v>944.3570767807586</v>
      </c>
      <c r="M38" s="274">
        <f t="shared" si="2"/>
        <v>817.4148753945607</v>
      </c>
      <c r="N38" s="274">
        <f t="shared" si="3"/>
        <v>126.94220138619798</v>
      </c>
      <c r="O38" s="275">
        <f t="shared" si="4"/>
        <v>20464.811582352493</v>
      </c>
    </row>
    <row r="39" spans="4:15" ht="14.25">
      <c r="D39" s="269">
        <v>36</v>
      </c>
      <c r="E39" s="287">
        <f t="shared" si="5"/>
        <v>131.70922399226467</v>
      </c>
      <c r="F39" s="287">
        <f t="shared" si="0"/>
        <v>889.1407760077353</v>
      </c>
      <c r="G39" s="287">
        <f t="shared" si="6"/>
        <v>1020.85</v>
      </c>
      <c r="H39" s="287">
        <f t="shared" si="10"/>
        <v>7983.920544515298</v>
      </c>
      <c r="I39" s="287">
        <f t="shared" si="10"/>
        <v>28766.679455484704</v>
      </c>
      <c r="J39" s="287">
        <f t="shared" si="8"/>
        <v>21233.32054451531</v>
      </c>
      <c r="L39" s="274">
        <f t="shared" si="1"/>
        <v>944.3570767807586</v>
      </c>
      <c r="M39" s="274">
        <f t="shared" si="2"/>
        <v>822.5169065751484</v>
      </c>
      <c r="N39" s="274">
        <f t="shared" si="3"/>
        <v>121.84017020561025</v>
      </c>
      <c r="O39" s="275">
        <f t="shared" si="4"/>
        <v>19642.294675777346</v>
      </c>
    </row>
    <row r="40" spans="4:15" ht="14.25">
      <c r="D40" s="269">
        <v>37</v>
      </c>
      <c r="E40" s="287">
        <f t="shared" si="5"/>
        <v>126.15950364868307</v>
      </c>
      <c r="F40" s="287">
        <f t="shared" si="0"/>
        <v>894.6904963513169</v>
      </c>
      <c r="G40" s="287">
        <f t="shared" si="6"/>
        <v>1020.85</v>
      </c>
      <c r="H40" s="287">
        <f t="shared" si="10"/>
        <v>8110.080048163982</v>
      </c>
      <c r="I40" s="287">
        <f t="shared" si="10"/>
        <v>29661.36995183602</v>
      </c>
      <c r="J40" s="287">
        <f t="shared" si="8"/>
        <v>20338.630048163996</v>
      </c>
      <c r="L40" s="274">
        <f t="shared" si="1"/>
        <v>944.3570767807586</v>
      </c>
      <c r="M40" s="274">
        <f t="shared" si="2"/>
        <v>827.6507829336882</v>
      </c>
      <c r="N40" s="274">
        <f t="shared" si="3"/>
        <v>116.70629384707037</v>
      </c>
      <c r="O40" s="275">
        <f t="shared" si="4"/>
        <v>18814.64389284366</v>
      </c>
    </row>
    <row r="41" spans="4:15" ht="14.25">
      <c r="D41" s="269">
        <v>38</v>
      </c>
      <c r="E41" s="287">
        <f t="shared" si="5"/>
        <v>120.57514380062361</v>
      </c>
      <c r="F41" s="287">
        <f t="shared" si="0"/>
        <v>900.2748561993765</v>
      </c>
      <c r="G41" s="287">
        <f t="shared" si="6"/>
        <v>1020.8500000000001</v>
      </c>
      <c r="H41" s="287">
        <f t="shared" si="10"/>
        <v>8230.655191964604</v>
      </c>
      <c r="I41" s="287">
        <f t="shared" si="10"/>
        <v>30561.644808035395</v>
      </c>
      <c r="J41" s="287">
        <f t="shared" si="8"/>
        <v>19438.35519196462</v>
      </c>
      <c r="L41" s="274">
        <f t="shared" si="1"/>
        <v>944.3570767807587</v>
      </c>
      <c r="M41" s="274">
        <f t="shared" si="2"/>
        <v>832.816703237166</v>
      </c>
      <c r="N41" s="274">
        <f t="shared" si="3"/>
        <v>111.54037354359261</v>
      </c>
      <c r="O41" s="275">
        <f t="shared" si="4"/>
        <v>17981.827189606494</v>
      </c>
    </row>
    <row r="42" spans="4:15" ht="14.25">
      <c r="D42" s="269">
        <v>39</v>
      </c>
      <c r="E42" s="287">
        <f t="shared" si="5"/>
        <v>114.95592823984585</v>
      </c>
      <c r="F42" s="287">
        <f t="shared" si="0"/>
        <v>905.8940717601541</v>
      </c>
      <c r="G42" s="287">
        <f t="shared" si="6"/>
        <v>1020.85</v>
      </c>
      <c r="H42" s="287">
        <f t="shared" si="10"/>
        <v>8345.61112020445</v>
      </c>
      <c r="I42" s="287">
        <f t="shared" si="10"/>
        <v>31467.53887979555</v>
      </c>
      <c r="J42" s="287">
        <f t="shared" si="8"/>
        <v>18532.461120204465</v>
      </c>
      <c r="L42" s="274">
        <f t="shared" si="1"/>
        <v>944.3570767807586</v>
      </c>
      <c r="M42" s="274">
        <f t="shared" si="2"/>
        <v>838.0148674932046</v>
      </c>
      <c r="N42" s="274">
        <f t="shared" si="3"/>
        <v>106.34220928755398</v>
      </c>
      <c r="O42" s="275">
        <f t="shared" si="4"/>
        <v>17143.81232211329</v>
      </c>
    </row>
    <row r="43" spans="4:15" ht="14.25">
      <c r="D43" s="269">
        <v>40</v>
      </c>
      <c r="E43" s="287">
        <f t="shared" si="5"/>
        <v>109.30163940860953</v>
      </c>
      <c r="F43" s="287">
        <f t="shared" si="0"/>
        <v>911.5483605913905</v>
      </c>
      <c r="G43" s="287">
        <f t="shared" si="6"/>
        <v>1020.85</v>
      </c>
      <c r="H43" s="287">
        <f t="shared" si="10"/>
        <v>8454.91275961306</v>
      </c>
      <c r="I43" s="287">
        <f t="shared" si="10"/>
        <v>32379.08724038694</v>
      </c>
      <c r="J43" s="287">
        <f t="shared" si="8"/>
        <v>17620.912759613075</v>
      </c>
      <c r="L43" s="274">
        <f t="shared" si="1"/>
        <v>944.3570767807586</v>
      </c>
      <c r="M43" s="274">
        <f t="shared" si="2"/>
        <v>843.2454769578081</v>
      </c>
      <c r="N43" s="274">
        <f t="shared" si="3"/>
        <v>101.11159982295054</v>
      </c>
      <c r="O43" s="275">
        <f t="shared" si="4"/>
        <v>16300.566845155481</v>
      </c>
    </row>
    <row r="44" spans="4:15" ht="14.25">
      <c r="D44" s="269">
        <v>41</v>
      </c>
      <c r="E44" s="287">
        <f t="shared" si="5"/>
        <v>103.61205839125161</v>
      </c>
      <c r="F44" s="287">
        <f t="shared" si="0"/>
        <v>917.2379416087484</v>
      </c>
      <c r="G44" s="287">
        <f t="shared" si="6"/>
        <v>1020.85</v>
      </c>
      <c r="H44" s="287">
        <f t="shared" si="10"/>
        <v>8558.524818004313</v>
      </c>
      <c r="I44" s="287">
        <f t="shared" si="10"/>
        <v>33296.325181995686</v>
      </c>
      <c r="J44" s="287">
        <f t="shared" si="8"/>
        <v>16703.674818004325</v>
      </c>
      <c r="L44" s="274">
        <f t="shared" si="1"/>
        <v>944.3570767807586</v>
      </c>
      <c r="M44" s="274">
        <f t="shared" si="2"/>
        <v>848.5087341431531</v>
      </c>
      <c r="N44" s="274">
        <f t="shared" si="3"/>
        <v>95.84834263760555</v>
      </c>
      <c r="O44" s="275">
        <f t="shared" si="4"/>
        <v>15452.058111012328</v>
      </c>
    </row>
    <row r="45" spans="4:15" ht="14.25">
      <c r="D45" s="269">
        <v>42</v>
      </c>
      <c r="E45" s="287">
        <f t="shared" si="5"/>
        <v>97.88696490571031</v>
      </c>
      <c r="F45" s="287">
        <f t="shared" si="0"/>
        <v>922.9630350942897</v>
      </c>
      <c r="G45" s="287">
        <f t="shared" si="6"/>
        <v>1020.85</v>
      </c>
      <c r="H45" s="287">
        <f t="shared" si="10"/>
        <v>8656.411782910023</v>
      </c>
      <c r="I45" s="287">
        <f t="shared" si="10"/>
        <v>34219.288217089976</v>
      </c>
      <c r="J45" s="287">
        <f t="shared" si="8"/>
        <v>15780.711782910035</v>
      </c>
      <c r="L45" s="274">
        <f t="shared" si="1"/>
        <v>944.3570767807586</v>
      </c>
      <c r="M45" s="274">
        <f t="shared" si="2"/>
        <v>853.8048428254299</v>
      </c>
      <c r="N45" s="274">
        <f t="shared" si="3"/>
        <v>90.55223395532869</v>
      </c>
      <c r="O45" s="275">
        <f t="shared" si="4"/>
        <v>14598.253268186898</v>
      </c>
    </row>
    <row r="46" spans="4:15" ht="14.25">
      <c r="D46" s="269">
        <v>43</v>
      </c>
      <c r="E46" s="287">
        <f t="shared" si="5"/>
        <v>92.1261372949968</v>
      </c>
      <c r="F46" s="287">
        <f t="shared" si="0"/>
        <v>928.7238627050033</v>
      </c>
      <c r="G46" s="287">
        <f t="shared" si="6"/>
        <v>1020.8500000000001</v>
      </c>
      <c r="H46" s="287">
        <f t="shared" si="10"/>
        <v>8748.53792020502</v>
      </c>
      <c r="I46" s="287">
        <f t="shared" si="10"/>
        <v>35148.01207979498</v>
      </c>
      <c r="J46" s="287">
        <f t="shared" si="8"/>
        <v>14851.987920205032</v>
      </c>
      <c r="L46" s="274">
        <f t="shared" si="1"/>
        <v>944.3570767807587</v>
      </c>
      <c r="M46" s="274">
        <f t="shared" si="2"/>
        <v>859.134008052732</v>
      </c>
      <c r="N46" s="274">
        <f t="shared" si="3"/>
        <v>85.22306872802665</v>
      </c>
      <c r="O46" s="275">
        <f t="shared" si="4"/>
        <v>13739.119260134166</v>
      </c>
    </row>
    <row r="47" spans="4:15" ht="14.25">
      <c r="D47" s="269">
        <v>44</v>
      </c>
      <c r="E47" s="287">
        <f t="shared" si="5"/>
        <v>86.32935251861306</v>
      </c>
      <c r="F47" s="287">
        <f t="shared" si="0"/>
        <v>934.520647481387</v>
      </c>
      <c r="G47" s="287">
        <f t="shared" si="6"/>
        <v>1020.85</v>
      </c>
      <c r="H47" s="287">
        <f t="shared" si="10"/>
        <v>8834.867272723634</v>
      </c>
      <c r="I47" s="287">
        <f t="shared" si="10"/>
        <v>36082.53272727637</v>
      </c>
      <c r="J47" s="287">
        <f t="shared" si="8"/>
        <v>13917.467272723645</v>
      </c>
      <c r="L47" s="274">
        <f t="shared" si="1"/>
        <v>944.3570767807586</v>
      </c>
      <c r="M47" s="274">
        <f t="shared" si="2"/>
        <v>864.4964361529944</v>
      </c>
      <c r="N47" s="274">
        <f t="shared" si="3"/>
        <v>79.86064062776417</v>
      </c>
      <c r="O47" s="275">
        <f t="shared" si="4"/>
        <v>12874.62282398117</v>
      </c>
    </row>
    <row r="48" spans="4:15" ht="14.25">
      <c r="D48" s="269">
        <v>45</v>
      </c>
      <c r="E48" s="287">
        <f t="shared" si="5"/>
        <v>80.49638614391674</v>
      </c>
      <c r="F48" s="287">
        <f t="shared" si="0"/>
        <v>940.3536138560833</v>
      </c>
      <c r="G48" s="287">
        <f t="shared" si="6"/>
        <v>1020.85</v>
      </c>
      <c r="H48" s="287">
        <f t="shared" si="10"/>
        <v>8915.36365886755</v>
      </c>
      <c r="I48" s="287">
        <f t="shared" si="10"/>
        <v>37022.88634113245</v>
      </c>
      <c r="J48" s="287">
        <f t="shared" si="8"/>
        <v>12977.113658867562</v>
      </c>
      <c r="L48" s="274">
        <f t="shared" si="1"/>
        <v>944.3570767807586</v>
      </c>
      <c r="M48" s="274">
        <f t="shared" si="2"/>
        <v>869.8923347419827</v>
      </c>
      <c r="N48" s="274">
        <f t="shared" si="3"/>
        <v>74.4647420387759</v>
      </c>
      <c r="O48" s="275">
        <f t="shared" si="4"/>
        <v>12004.730489239188</v>
      </c>
    </row>
    <row r="49" spans="4:15" ht="14.25">
      <c r="D49" s="269">
        <v>46</v>
      </c>
      <c r="E49" s="287">
        <f t="shared" si="5"/>
        <v>74.62701233743168</v>
      </c>
      <c r="F49" s="287">
        <f t="shared" si="0"/>
        <v>946.2229876625684</v>
      </c>
      <c r="G49" s="287">
        <f t="shared" si="6"/>
        <v>1020.85</v>
      </c>
      <c r="H49" s="287">
        <f t="shared" si="10"/>
        <v>8989.990671204983</v>
      </c>
      <c r="I49" s="287">
        <f t="shared" si="10"/>
        <v>37969.10932879502</v>
      </c>
      <c r="J49" s="287">
        <f t="shared" si="8"/>
        <v>12030.890671204994</v>
      </c>
      <c r="L49" s="274">
        <f t="shared" si="1"/>
        <v>944.3570767807586</v>
      </c>
      <c r="M49" s="274">
        <f t="shared" si="2"/>
        <v>875.3219127313306</v>
      </c>
      <c r="N49" s="274">
        <f t="shared" si="3"/>
        <v>69.03516404942802</v>
      </c>
      <c r="O49" s="275">
        <f t="shared" si="4"/>
        <v>11129.408576507858</v>
      </c>
    </row>
    <row r="50" spans="4:15" ht="14.25">
      <c r="D50" s="269">
        <v>47</v>
      </c>
      <c r="E50" s="287">
        <f t="shared" si="5"/>
        <v>68.7210038561045</v>
      </c>
      <c r="F50" s="287">
        <f t="shared" si="0"/>
        <v>952.1289961438955</v>
      </c>
      <c r="G50" s="287">
        <f t="shared" si="6"/>
        <v>1020.85</v>
      </c>
      <c r="H50" s="287">
        <f t="shared" si="10"/>
        <v>9058.711675061088</v>
      </c>
      <c r="I50" s="287">
        <f t="shared" si="10"/>
        <v>38921.23832493892</v>
      </c>
      <c r="J50" s="287">
        <f t="shared" si="8"/>
        <v>11078.761675061098</v>
      </c>
      <c r="L50" s="274">
        <f t="shared" si="1"/>
        <v>944.3570767807586</v>
      </c>
      <c r="M50" s="274">
        <f t="shared" si="2"/>
        <v>880.7853803366286</v>
      </c>
      <c r="N50" s="274">
        <f t="shared" si="3"/>
        <v>63.57169644412998</v>
      </c>
      <c r="O50" s="275">
        <f t="shared" si="4"/>
        <v>10248.62319617123</v>
      </c>
    </row>
    <row r="51" spans="4:15" ht="14.25">
      <c r="D51" s="269">
        <v>48</v>
      </c>
      <c r="E51" s="287">
        <f t="shared" si="5"/>
        <v>62.77813203850635</v>
      </c>
      <c r="F51" s="287">
        <f t="shared" si="0"/>
        <v>958.0718679614937</v>
      </c>
      <c r="G51" s="287">
        <f t="shared" si="6"/>
        <v>1020.85</v>
      </c>
      <c r="H51" s="287">
        <f t="shared" si="10"/>
        <v>9121.489807099593</v>
      </c>
      <c r="I51" s="287">
        <f t="shared" si="10"/>
        <v>39879.31019290041</v>
      </c>
      <c r="J51" s="287">
        <f t="shared" si="8"/>
        <v>10120.689807099605</v>
      </c>
      <c r="L51" s="274">
        <f t="shared" si="1"/>
        <v>944.3570767807586</v>
      </c>
      <c r="M51" s="274">
        <f t="shared" si="2"/>
        <v>886.2829490855631</v>
      </c>
      <c r="N51" s="274">
        <f t="shared" si="3"/>
        <v>58.074127695195514</v>
      </c>
      <c r="O51" s="275">
        <f t="shared" si="4"/>
        <v>9362.340247085665</v>
      </c>
    </row>
    <row r="52" spans="4:15" ht="14.25">
      <c r="D52" s="269">
        <v>49</v>
      </c>
      <c r="E52" s="287">
        <f t="shared" si="5"/>
        <v>56.79816679598002</v>
      </c>
      <c r="F52" s="287">
        <f t="shared" si="0"/>
        <v>964.05183320402</v>
      </c>
      <c r="G52" s="287">
        <f t="shared" si="6"/>
        <v>1020.85</v>
      </c>
      <c r="H52" s="287">
        <f t="shared" si="10"/>
        <v>9178.287973895573</v>
      </c>
      <c r="I52" s="287">
        <f t="shared" si="10"/>
        <v>40843.362026104434</v>
      </c>
      <c r="J52" s="287">
        <f t="shared" si="8"/>
        <v>9156.637973895586</v>
      </c>
      <c r="L52" s="274">
        <f t="shared" si="1"/>
        <v>944.3570767807586</v>
      </c>
      <c r="M52" s="274">
        <f t="shared" si="2"/>
        <v>891.8148318261054</v>
      </c>
      <c r="N52" s="274">
        <f t="shared" si="3"/>
        <v>52.54224495465312</v>
      </c>
      <c r="O52" s="275">
        <f t="shared" si="4"/>
        <v>8470.52541525956</v>
      </c>
    </row>
    <row r="53" spans="4:15" ht="14.25">
      <c r="D53" s="269">
        <v>50</v>
      </c>
      <c r="E53" s="287">
        <f t="shared" si="5"/>
        <v>50.780876603731606</v>
      </c>
      <c r="F53" s="287">
        <f t="shared" si="0"/>
        <v>970.0691233962684</v>
      </c>
      <c r="G53" s="287">
        <f t="shared" si="6"/>
        <v>1020.85</v>
      </c>
      <c r="H53" s="287">
        <f t="shared" si="10"/>
        <v>9229.068850499305</v>
      </c>
      <c r="I53" s="287">
        <f t="shared" si="10"/>
        <v>41813.431149500706</v>
      </c>
      <c r="J53" s="287">
        <f t="shared" si="8"/>
        <v>8186.568850499318</v>
      </c>
      <c r="L53" s="274">
        <f t="shared" si="1"/>
        <v>944.3570767807586</v>
      </c>
      <c r="M53" s="274">
        <f t="shared" si="2"/>
        <v>897.3812427347534</v>
      </c>
      <c r="N53" s="274">
        <f t="shared" si="3"/>
        <v>46.97583404600519</v>
      </c>
      <c r="O53" s="275">
        <f t="shared" si="4"/>
        <v>7573.144172524809</v>
      </c>
    </row>
    <row r="54" spans="4:15" ht="14.25">
      <c r="D54" s="269">
        <v>51</v>
      </c>
      <c r="E54" s="287">
        <f t="shared" si="5"/>
        <v>44.72602849186657</v>
      </c>
      <c r="F54" s="287">
        <f t="shared" si="0"/>
        <v>976.1239715081334</v>
      </c>
      <c r="G54" s="287">
        <f t="shared" si="6"/>
        <v>1020.85</v>
      </c>
      <c r="H54" s="287">
        <f aca="true" t="shared" si="11" ref="H54:I64">H53+E54</f>
        <v>9273.794878991172</v>
      </c>
      <c r="I54" s="287">
        <f t="shared" si="11"/>
        <v>42789.55512100884</v>
      </c>
      <c r="J54" s="287">
        <f t="shared" si="8"/>
        <v>7210.444878991184</v>
      </c>
      <c r="L54" s="274">
        <f t="shared" si="1"/>
        <v>944.3570767807586</v>
      </c>
      <c r="M54" s="274">
        <f t="shared" si="2"/>
        <v>902.9823973248228</v>
      </c>
      <c r="N54" s="274">
        <f t="shared" si="3"/>
        <v>41.37467945593578</v>
      </c>
      <c r="O54" s="275">
        <f t="shared" si="4"/>
        <v>6670.161775199986</v>
      </c>
    </row>
    <row r="55" spans="4:15" ht="14.25">
      <c r="D55" s="269">
        <v>52</v>
      </c>
      <c r="E55" s="287">
        <f t="shared" si="5"/>
        <v>38.633388036369965</v>
      </c>
      <c r="F55" s="287">
        <f t="shared" si="0"/>
        <v>982.21661196363</v>
      </c>
      <c r="G55" s="287">
        <f t="shared" si="6"/>
        <v>1020.85</v>
      </c>
      <c r="H55" s="287">
        <f t="shared" si="11"/>
        <v>9312.42826702754</v>
      </c>
      <c r="I55" s="287">
        <f t="shared" si="11"/>
        <v>43771.77173297247</v>
      </c>
      <c r="J55" s="287">
        <f t="shared" si="8"/>
        <v>6228.228267027554</v>
      </c>
      <c r="L55" s="274">
        <f t="shared" si="1"/>
        <v>944.3570767807586</v>
      </c>
      <c r="M55" s="274">
        <f t="shared" si="2"/>
        <v>908.6185124547919</v>
      </c>
      <c r="N55" s="274">
        <f t="shared" si="3"/>
        <v>35.738564325966664</v>
      </c>
      <c r="O55" s="275">
        <f t="shared" si="4"/>
        <v>5761.543262745193</v>
      </c>
    </row>
    <row r="56" spans="4:15" ht="14.25">
      <c r="D56" s="269">
        <v>53</v>
      </c>
      <c r="E56" s="287">
        <f t="shared" si="5"/>
        <v>32.50271935003031</v>
      </c>
      <c r="F56" s="287">
        <f t="shared" si="0"/>
        <v>988.3472806499697</v>
      </c>
      <c r="G56" s="287">
        <f t="shared" si="6"/>
        <v>1020.85</v>
      </c>
      <c r="H56" s="287">
        <f t="shared" si="11"/>
        <v>9344.93098637757</v>
      </c>
      <c r="I56" s="287">
        <f t="shared" si="11"/>
        <v>44760.11901362244</v>
      </c>
      <c r="J56" s="287">
        <f t="shared" si="8"/>
        <v>5239.880986377584</v>
      </c>
      <c r="L56" s="274">
        <f t="shared" si="1"/>
        <v>944.3570767807586</v>
      </c>
      <c r="M56" s="274">
        <f t="shared" si="2"/>
        <v>914.2898063366972</v>
      </c>
      <c r="N56" s="274">
        <f t="shared" si="3"/>
        <v>30.067270444061343</v>
      </c>
      <c r="O56" s="275">
        <f t="shared" si="4"/>
        <v>4847.253456408496</v>
      </c>
    </row>
    <row r="57" spans="4:15" ht="14.25">
      <c r="D57" s="269">
        <v>54</v>
      </c>
      <c r="E57" s="287">
        <f t="shared" si="5"/>
        <v>26.33378507330675</v>
      </c>
      <c r="F57" s="287">
        <f t="shared" si="0"/>
        <v>994.5162149266932</v>
      </c>
      <c r="G57" s="287">
        <f t="shared" si="6"/>
        <v>1020.85</v>
      </c>
      <c r="H57" s="287">
        <f t="shared" si="11"/>
        <v>9371.264771450877</v>
      </c>
      <c r="I57" s="287">
        <f t="shared" si="11"/>
        <v>45754.63522854913</v>
      </c>
      <c r="J57" s="287">
        <f t="shared" si="8"/>
        <v>4245.364771450891</v>
      </c>
      <c r="L57" s="274">
        <f t="shared" si="1"/>
        <v>944.3570767807586</v>
      </c>
      <c r="M57" s="274">
        <f t="shared" si="2"/>
        <v>919.9964985445821</v>
      </c>
      <c r="N57" s="274">
        <f t="shared" si="3"/>
        <v>24.36057823617646</v>
      </c>
      <c r="O57" s="275">
        <f t="shared" si="4"/>
        <v>3927.2569578639136</v>
      </c>
    </row>
    <row r="58" spans="4:15" ht="14.25">
      <c r="D58" s="269">
        <v>55</v>
      </c>
      <c r="E58" s="287">
        <f t="shared" si="5"/>
        <v>20.126346365139305</v>
      </c>
      <c r="F58" s="287">
        <f t="shared" si="0"/>
        <v>1000.7236536348607</v>
      </c>
      <c r="G58" s="287">
        <f t="shared" si="6"/>
        <v>1020.85</v>
      </c>
      <c r="H58" s="287">
        <f t="shared" si="11"/>
        <v>9391.391117816016</v>
      </c>
      <c r="I58" s="287">
        <f t="shared" si="11"/>
        <v>46755.35888218399</v>
      </c>
      <c r="J58" s="287">
        <f t="shared" si="8"/>
        <v>3244.6411178160297</v>
      </c>
      <c r="L58" s="274">
        <f t="shared" si="1"/>
        <v>944.3570767807586</v>
      </c>
      <c r="M58" s="274">
        <f t="shared" si="2"/>
        <v>925.738810022998</v>
      </c>
      <c r="N58" s="274">
        <f t="shared" si="3"/>
        <v>18.61826675776069</v>
      </c>
      <c r="O58" s="275">
        <f t="shared" si="4"/>
        <v>3001.518147840916</v>
      </c>
    </row>
    <row r="59" spans="4:15" ht="14.25">
      <c r="D59" s="269">
        <v>56</v>
      </c>
      <c r="E59" s="287">
        <f t="shared" si="5"/>
        <v>13.880162893701717</v>
      </c>
      <c r="F59" s="287">
        <f t="shared" si="0"/>
        <v>1006.9698371062983</v>
      </c>
      <c r="G59" s="287">
        <f t="shared" si="6"/>
        <v>1020.85</v>
      </c>
      <c r="H59" s="287">
        <f t="shared" si="11"/>
        <v>9405.271280709718</v>
      </c>
      <c r="I59" s="287">
        <f t="shared" si="11"/>
        <v>47762.328719290286</v>
      </c>
      <c r="J59" s="287">
        <f t="shared" si="8"/>
        <v>2237.6712807097315</v>
      </c>
      <c r="L59" s="274">
        <f t="shared" si="1"/>
        <v>944.3570767807586</v>
      </c>
      <c r="M59" s="274">
        <f t="shared" si="2"/>
        <v>931.5169630955581</v>
      </c>
      <c r="N59" s="274">
        <f t="shared" si="3"/>
        <v>12.840113685200478</v>
      </c>
      <c r="O59" s="275">
        <f t="shared" si="4"/>
        <v>2070.0011847453575</v>
      </c>
    </row>
    <row r="60" spans="4:15" ht="14.25">
      <c r="D60" s="269">
        <v>57</v>
      </c>
      <c r="E60" s="287">
        <f t="shared" si="5"/>
        <v>7.594992827096574</v>
      </c>
      <c r="F60" s="287">
        <f t="shared" si="0"/>
        <v>1013.2550071729034</v>
      </c>
      <c r="G60" s="287">
        <f t="shared" si="6"/>
        <v>1020.85</v>
      </c>
      <c r="H60" s="287">
        <f t="shared" si="11"/>
        <v>9412.866273536814</v>
      </c>
      <c r="I60" s="287">
        <f t="shared" si="11"/>
        <v>48775.58372646319</v>
      </c>
      <c r="J60" s="287">
        <f t="shared" si="8"/>
        <v>1224.4162735368282</v>
      </c>
      <c r="L60" s="274">
        <f t="shared" si="1"/>
        <v>944.3570767807586</v>
      </c>
      <c r="M60" s="274">
        <f t="shared" si="2"/>
        <v>937.3311814735463</v>
      </c>
      <c r="N60" s="274">
        <f t="shared" si="3"/>
        <v>7.025895307212372</v>
      </c>
      <c r="O60" s="275">
        <f t="shared" si="4"/>
        <v>1132.6700032718115</v>
      </c>
    </row>
    <row r="61" spans="4:15" ht="14.25">
      <c r="D61" s="269">
        <v>58</v>
      </c>
      <c r="E61" s="287">
        <f t="shared" si="5"/>
        <v>1.270592823992369</v>
      </c>
      <c r="F61" s="287">
        <f t="shared" si="0"/>
        <v>1019.5794071760076</v>
      </c>
      <c r="G61" s="287">
        <f t="shared" si="6"/>
        <v>1020.85</v>
      </c>
      <c r="H61" s="287">
        <f t="shared" si="11"/>
        <v>9414.136866360806</v>
      </c>
      <c r="I61" s="287">
        <f t="shared" si="11"/>
        <v>49795.1631336392</v>
      </c>
      <c r="J61" s="287">
        <f t="shared" si="8"/>
        <v>204.83686636082052</v>
      </c>
      <c r="L61" s="274">
        <f t="shared" si="1"/>
        <v>944.3570767807586</v>
      </c>
      <c r="M61" s="274">
        <f t="shared" si="2"/>
        <v>943.1816902645769</v>
      </c>
      <c r="N61" s="274">
        <f t="shared" si="3"/>
        <v>1.175386516181655</v>
      </c>
      <c r="O61" s="275">
        <f t="shared" si="4"/>
        <v>189.48831300723452</v>
      </c>
    </row>
    <row r="62" spans="4:15" ht="14.25">
      <c r="D62" s="269">
        <v>59</v>
      </c>
      <c r="E62" s="287">
        <f t="shared" si="5"/>
        <v>-5.093281975797878</v>
      </c>
      <c r="F62" s="287">
        <f t="shared" si="0"/>
        <v>1025.9432819757978</v>
      </c>
      <c r="G62" s="287">
        <f t="shared" si="6"/>
        <v>1020.85</v>
      </c>
      <c r="H62" s="287">
        <f t="shared" si="11"/>
        <v>9409.043584385008</v>
      </c>
      <c r="I62" s="287">
        <f t="shared" si="11"/>
        <v>50821.106415615</v>
      </c>
      <c r="J62" s="287">
        <f t="shared" si="8"/>
        <v>-821.1064156149773</v>
      </c>
      <c r="L62" s="274">
        <f t="shared" si="1"/>
        <v>944.3570767807586</v>
      </c>
      <c r="M62" s="274">
        <f t="shared" si="2"/>
        <v>949.0687159813116</v>
      </c>
      <c r="N62" s="274">
        <f t="shared" si="3"/>
        <v>-4.711639200553079</v>
      </c>
      <c r="O62" s="275">
        <f t="shared" si="4"/>
        <v>-759.5804029740771</v>
      </c>
    </row>
    <row r="63" spans="4:15" ht="14.25">
      <c r="D63" s="269">
        <v>60</v>
      </c>
      <c r="E63" s="287">
        <f t="shared" si="5"/>
        <v>-11.496877960796814</v>
      </c>
      <c r="F63" s="287">
        <f t="shared" si="0"/>
        <v>1032.3468779607967</v>
      </c>
      <c r="G63" s="287">
        <f t="shared" si="6"/>
        <v>1020.8499999999999</v>
      </c>
      <c r="H63" s="287">
        <f t="shared" si="11"/>
        <v>9397.546706424211</v>
      </c>
      <c r="I63" s="287">
        <f t="shared" si="11"/>
        <v>51853.453293575796</v>
      </c>
      <c r="J63" s="287">
        <f t="shared" si="8"/>
        <v>-1853.453293575774</v>
      </c>
      <c r="L63" s="274">
        <f t="shared" si="1"/>
        <v>944.3570767807585</v>
      </c>
      <c r="M63" s="274">
        <f t="shared" si="2"/>
        <v>954.9924865502283</v>
      </c>
      <c r="N63" s="274">
        <f t="shared" si="3"/>
        <v>-10.635409769469764</v>
      </c>
      <c r="O63" s="275">
        <f t="shared" si="4"/>
        <v>-1714.5728895243053</v>
      </c>
    </row>
    <row r="64" spans="4:15" ht="14.25">
      <c r="D64" s="269">
        <v>61</v>
      </c>
      <c r="E64" s="287">
        <f t="shared" si="5"/>
        <v>-17.940443057402124</v>
      </c>
      <c r="F64" s="287">
        <f t="shared" si="0"/>
        <v>1038.7904430574022</v>
      </c>
      <c r="G64" s="287">
        <f t="shared" si="6"/>
        <v>1020.85</v>
      </c>
      <c r="H64" s="287">
        <f t="shared" si="11"/>
        <v>9379.60626336681</v>
      </c>
      <c r="I64" s="287">
        <f t="shared" si="11"/>
        <v>52892.2437366332</v>
      </c>
      <c r="J64" s="287">
        <f t="shared" si="8"/>
        <v>-2892.243736633176</v>
      </c>
      <c r="L64" s="274">
        <f t="shared" si="1"/>
        <v>944.3570767807586</v>
      </c>
      <c r="M64" s="274">
        <f t="shared" si="2"/>
        <v>960.9532313204461</v>
      </c>
      <c r="N64" s="274">
        <f t="shared" si="3"/>
        <v>-16.596154539687443</v>
      </c>
      <c r="O64" s="275">
        <f t="shared" si="4"/>
        <v>-2675.5261208447514</v>
      </c>
    </row>
    <row r="78" ht="14.25">
      <c r="B78" s="269">
        <f>12000/(1.00408333^48)</f>
        <v>9868.08576434029</v>
      </c>
    </row>
  </sheetData>
  <sheetProtection/>
  <mergeCells count="1">
    <mergeCell ref="L2:O2"/>
  </mergeCells>
  <conditionalFormatting sqref="D4:O64">
    <cfRule type="expression" priority="1" dxfId="0">
      <formula>$D4&gt;$B$9</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1:L87"/>
  <sheetViews>
    <sheetView zoomScalePageLayoutView="0" workbookViewId="0" topLeftCell="A1">
      <selection activeCell="B27" sqref="B27"/>
    </sheetView>
  </sheetViews>
  <sheetFormatPr defaultColWidth="11.421875" defaultRowHeight="12.75"/>
  <cols>
    <col min="1" max="1" width="30.421875" style="295" bestFit="1" customWidth="1"/>
    <col min="2" max="2" width="11.421875" style="295" customWidth="1"/>
    <col min="3" max="3" width="12.421875" style="295" bestFit="1" customWidth="1"/>
    <col min="4" max="4" width="6.421875" style="295" bestFit="1" customWidth="1"/>
    <col min="5" max="5" width="8.8515625" style="295" bestFit="1" customWidth="1"/>
    <col min="6" max="6" width="11.57421875" style="295" bestFit="1" customWidth="1"/>
    <col min="7" max="7" width="7.8515625" style="295" bestFit="1" customWidth="1"/>
    <col min="8" max="8" width="10.00390625" style="295" bestFit="1" customWidth="1"/>
    <col min="9" max="9" width="12.00390625" style="295" bestFit="1" customWidth="1"/>
    <col min="10" max="10" width="9.7109375" style="295" bestFit="1" customWidth="1"/>
    <col min="11" max="11" width="9.00390625" style="295" bestFit="1" customWidth="1"/>
    <col min="12" max="16384" width="11.421875" style="295" customWidth="1"/>
  </cols>
  <sheetData>
    <row r="1" ht="14.25">
      <c r="A1" s="294" t="s">
        <v>116</v>
      </c>
    </row>
    <row r="3" spans="1:10" ht="14.25">
      <c r="A3" s="295" t="s">
        <v>84</v>
      </c>
      <c r="B3" s="296">
        <f>FINANZIAMENTO!I9</f>
        <v>20000</v>
      </c>
      <c r="D3" s="297" t="s">
        <v>85</v>
      </c>
      <c r="E3" s="297" t="s">
        <v>86</v>
      </c>
      <c r="F3" s="297" t="s">
        <v>87</v>
      </c>
      <c r="G3" s="297" t="s">
        <v>88</v>
      </c>
      <c r="H3" s="297" t="s">
        <v>89</v>
      </c>
      <c r="I3" s="297" t="s">
        <v>90</v>
      </c>
      <c r="J3" s="297" t="s">
        <v>91</v>
      </c>
    </row>
    <row r="4" spans="1:12" ht="14.25">
      <c r="A4" s="295" t="s">
        <v>95</v>
      </c>
      <c r="B4" s="298"/>
      <c r="D4" s="268">
        <v>1</v>
      </c>
      <c r="E4" s="280">
        <f>B7*B11/(100*12)</f>
        <v>158.71903267198118</v>
      </c>
      <c r="F4" s="280">
        <f aca="true" t="shared" si="0" ref="F4:F67">$B$24-E4</f>
        <v>343.9809673280189</v>
      </c>
      <c r="G4" s="280">
        <f>E4+F4</f>
        <v>502.70000000000005</v>
      </c>
      <c r="H4" s="280">
        <f>E4</f>
        <v>158.71903267198118</v>
      </c>
      <c r="I4" s="280">
        <f>F4</f>
        <v>343.9809673280189</v>
      </c>
      <c r="J4" s="280">
        <f>B7-F4</f>
        <v>19656.019032671982</v>
      </c>
      <c r="L4" s="299"/>
    </row>
    <row r="5" spans="1:10" ht="14.25">
      <c r="A5" s="300" t="s">
        <v>96</v>
      </c>
      <c r="B5" s="301">
        <f>B3+B4</f>
        <v>20000</v>
      </c>
      <c r="D5" s="268">
        <v>2</v>
      </c>
      <c r="E5" s="280">
        <f>J4*$B$11/(100*12)</f>
        <v>155.9892163523874</v>
      </c>
      <c r="F5" s="280">
        <f t="shared" si="0"/>
        <v>346.71078364761263</v>
      </c>
      <c r="G5" s="280">
        <f>E5+F5</f>
        <v>502.70000000000005</v>
      </c>
      <c r="H5" s="280">
        <f>H4+E5</f>
        <v>314.70824902436857</v>
      </c>
      <c r="I5" s="280">
        <f>I4+F5</f>
        <v>690.6917509756315</v>
      </c>
      <c r="J5" s="280">
        <f>J4-F5</f>
        <v>19309.30824902437</v>
      </c>
    </row>
    <row r="6" spans="1:10" ht="14.25">
      <c r="A6" s="295" t="s">
        <v>97</v>
      </c>
      <c r="B6" s="296">
        <f>FINANZIAMENTO!I11</f>
        <v>0</v>
      </c>
      <c r="D6" s="268">
        <v>3</v>
      </c>
      <c r="E6" s="280">
        <f aca="true" t="shared" si="1" ref="E6:E69">J5*$B$11/(100*12)</f>
        <v>153.23773634251273</v>
      </c>
      <c r="F6" s="280">
        <f t="shared" si="0"/>
        <v>349.4622636574873</v>
      </c>
      <c r="G6" s="280">
        <f aca="true" t="shared" si="2" ref="G6:G69">E6+F6</f>
        <v>502.70000000000005</v>
      </c>
      <c r="H6" s="280">
        <f aca="true" t="shared" si="3" ref="H6:I21">H5+E6</f>
        <v>467.9459853668813</v>
      </c>
      <c r="I6" s="280">
        <f t="shared" si="3"/>
        <v>1040.1540146331188</v>
      </c>
      <c r="J6" s="280">
        <f aca="true" t="shared" si="4" ref="J6:J69">J5-F6</f>
        <v>18959.845985366883</v>
      </c>
    </row>
    <row r="7" spans="1:10" ht="14.25">
      <c r="A7" s="300" t="s">
        <v>98</v>
      </c>
      <c r="B7" s="301">
        <f>B5-B6</f>
        <v>20000</v>
      </c>
      <c r="C7" s="298"/>
      <c r="D7" s="268">
        <v>4</v>
      </c>
      <c r="E7" s="280">
        <f t="shared" si="1"/>
        <v>150.46442072035887</v>
      </c>
      <c r="F7" s="280">
        <f t="shared" si="0"/>
        <v>352.2355792796412</v>
      </c>
      <c r="G7" s="280">
        <f t="shared" si="2"/>
        <v>502.70000000000005</v>
      </c>
      <c r="H7" s="280">
        <f t="shared" si="3"/>
        <v>618.4104060872402</v>
      </c>
      <c r="I7" s="280">
        <f t="shared" si="3"/>
        <v>1392.38959391276</v>
      </c>
      <c r="J7" s="280">
        <f t="shared" si="4"/>
        <v>18607.610406087242</v>
      </c>
    </row>
    <row r="8" spans="1:10" ht="14.25">
      <c r="A8" s="294"/>
      <c r="B8" s="302"/>
      <c r="C8" s="298"/>
      <c r="D8" s="268">
        <v>5</v>
      </c>
      <c r="E8" s="280">
        <f t="shared" si="1"/>
        <v>147.6690961995629</v>
      </c>
      <c r="F8" s="280">
        <f t="shared" si="0"/>
        <v>355.03090380043716</v>
      </c>
      <c r="G8" s="280">
        <f t="shared" si="2"/>
        <v>502.70000000000005</v>
      </c>
      <c r="H8" s="280">
        <f t="shared" si="3"/>
        <v>766.0795022868031</v>
      </c>
      <c r="I8" s="280">
        <f t="shared" si="3"/>
        <v>1747.4204977131972</v>
      </c>
      <c r="J8" s="280">
        <f t="shared" si="4"/>
        <v>18252.579502286804</v>
      </c>
    </row>
    <row r="9" spans="1:10" ht="14.25">
      <c r="A9" s="295" t="s">
        <v>99</v>
      </c>
      <c r="B9" s="303">
        <f>FINANZIAMENTO!I15</f>
        <v>48</v>
      </c>
      <c r="D9" s="268">
        <v>6</v>
      </c>
      <c r="E9" s="280">
        <f t="shared" si="1"/>
        <v>144.85158811856965</v>
      </c>
      <c r="F9" s="280">
        <f t="shared" si="0"/>
        <v>357.84841188143037</v>
      </c>
      <c r="G9" s="280">
        <f t="shared" si="2"/>
        <v>502.70000000000005</v>
      </c>
      <c r="H9" s="280">
        <f t="shared" si="3"/>
        <v>910.9310904053727</v>
      </c>
      <c r="I9" s="280">
        <f t="shared" si="3"/>
        <v>2105.2689095946275</v>
      </c>
      <c r="J9" s="280">
        <f t="shared" si="4"/>
        <v>17894.731090405374</v>
      </c>
    </row>
    <row r="10" spans="1:10" ht="14.25">
      <c r="A10" s="294" t="s">
        <v>117</v>
      </c>
      <c r="B10" s="304">
        <f>FINANZIAMENTO!I19*100</f>
        <v>9.950000000000001</v>
      </c>
      <c r="D10" s="268">
        <v>7</v>
      </c>
      <c r="E10" s="280">
        <f t="shared" si="1"/>
        <v>142.0117204297184</v>
      </c>
      <c r="F10" s="280">
        <f t="shared" si="0"/>
        <v>360.6882795702817</v>
      </c>
      <c r="G10" s="280">
        <f t="shared" si="2"/>
        <v>502.70000000000005</v>
      </c>
      <c r="H10" s="280">
        <f t="shared" si="3"/>
        <v>1052.9428108350912</v>
      </c>
      <c r="I10" s="280">
        <f t="shared" si="3"/>
        <v>2465.9571891649093</v>
      </c>
      <c r="J10" s="280">
        <f t="shared" si="4"/>
        <v>17534.042810835093</v>
      </c>
    </row>
    <row r="11" spans="1:10" ht="14.25">
      <c r="A11" s="295" t="s">
        <v>118</v>
      </c>
      <c r="B11" s="305">
        <f>(((B10/100+1)^(1/12))-1)*(100*12)</f>
        <v>9.52314196031887</v>
      </c>
      <c r="C11" s="306"/>
      <c r="D11" s="268">
        <v>8</v>
      </c>
      <c r="E11" s="280">
        <f t="shared" si="1"/>
        <v>139.14931568824258</v>
      </c>
      <c r="F11" s="280">
        <f t="shared" si="0"/>
        <v>363.55068431175744</v>
      </c>
      <c r="G11" s="280">
        <f t="shared" si="2"/>
        <v>502.70000000000005</v>
      </c>
      <c r="H11" s="280">
        <f t="shared" si="3"/>
        <v>1192.0921265233337</v>
      </c>
      <c r="I11" s="280">
        <f t="shared" si="3"/>
        <v>2829.5078734766666</v>
      </c>
      <c r="J11" s="280">
        <f t="shared" si="4"/>
        <v>17170.492126523335</v>
      </c>
    </row>
    <row r="12" spans="2:10" ht="14.25">
      <c r="B12" s="298"/>
      <c r="C12" s="307"/>
      <c r="D12" s="268">
        <v>9</v>
      </c>
      <c r="E12" s="280">
        <f t="shared" si="1"/>
        <v>136.26419504118263</v>
      </c>
      <c r="F12" s="280">
        <f t="shared" si="0"/>
        <v>366.4358049588174</v>
      </c>
      <c r="G12" s="280">
        <f t="shared" si="2"/>
        <v>502.70000000000005</v>
      </c>
      <c r="H12" s="280">
        <f t="shared" si="3"/>
        <v>1328.3563215645163</v>
      </c>
      <c r="I12" s="280">
        <f t="shared" si="3"/>
        <v>3195.943678435484</v>
      </c>
      <c r="J12" s="280">
        <f t="shared" si="4"/>
        <v>16804.056321564516</v>
      </c>
    </row>
    <row r="13" spans="1:10" ht="14.25">
      <c r="A13" s="295" t="s">
        <v>101</v>
      </c>
      <c r="B13" s="298">
        <v>0</v>
      </c>
      <c r="C13" s="298"/>
      <c r="D13" s="268">
        <v>10</v>
      </c>
      <c r="E13" s="280">
        <f t="shared" si="1"/>
        <v>133.3561782162105</v>
      </c>
      <c r="F13" s="280">
        <f t="shared" si="0"/>
        <v>369.3438217837895</v>
      </c>
      <c r="G13" s="280">
        <f t="shared" si="2"/>
        <v>502.70000000000005</v>
      </c>
      <c r="H13" s="280">
        <f t="shared" si="3"/>
        <v>1461.7124997807268</v>
      </c>
      <c r="I13" s="280">
        <f t="shared" si="3"/>
        <v>3565.287500219273</v>
      </c>
      <c r="J13" s="280">
        <f t="shared" si="4"/>
        <v>16434.712499780726</v>
      </c>
    </row>
    <row r="14" spans="1:10" ht="14.25">
      <c r="A14" s="295" t="s">
        <v>102</v>
      </c>
      <c r="B14" s="298">
        <v>0</v>
      </c>
      <c r="C14" s="298"/>
      <c r="D14" s="268">
        <v>11</v>
      </c>
      <c r="E14" s="280">
        <f t="shared" si="1"/>
        <v>130.42508351036574</v>
      </c>
      <c r="F14" s="280">
        <f t="shared" si="0"/>
        <v>372.2749164896343</v>
      </c>
      <c r="G14" s="280">
        <f t="shared" si="2"/>
        <v>502.70000000000005</v>
      </c>
      <c r="H14" s="280">
        <f t="shared" si="3"/>
        <v>1592.1375832910926</v>
      </c>
      <c r="I14" s="280">
        <f t="shared" si="3"/>
        <v>3937.562416708907</v>
      </c>
      <c r="J14" s="280">
        <f t="shared" si="4"/>
        <v>16062.437583291092</v>
      </c>
    </row>
    <row r="15" spans="1:10" ht="14.25">
      <c r="A15" s="295" t="s">
        <v>103</v>
      </c>
      <c r="B15" s="298">
        <f>B13-B14</f>
        <v>0</v>
      </c>
      <c r="C15" s="298"/>
      <c r="D15" s="268">
        <v>12</v>
      </c>
      <c r="E15" s="280">
        <f t="shared" si="1"/>
        <v>127.47072777870186</v>
      </c>
      <c r="F15" s="280">
        <f t="shared" si="0"/>
        <v>375.2292722212982</v>
      </c>
      <c r="G15" s="280">
        <f t="shared" si="2"/>
        <v>502.70000000000005</v>
      </c>
      <c r="H15" s="280">
        <f t="shared" si="3"/>
        <v>1719.6083110697944</v>
      </c>
      <c r="I15" s="280">
        <f t="shared" si="3"/>
        <v>4312.791688930205</v>
      </c>
      <c r="J15" s="280">
        <f t="shared" si="4"/>
        <v>15687.208311069793</v>
      </c>
    </row>
    <row r="16" spans="2:10" ht="14.25">
      <c r="B16" s="298"/>
      <c r="C16" s="298"/>
      <c r="D16" s="268">
        <v>13</v>
      </c>
      <c r="E16" s="280">
        <f t="shared" si="1"/>
        <v>124.49292642284306</v>
      </c>
      <c r="F16" s="280">
        <f t="shared" si="0"/>
        <v>378.20707357715696</v>
      </c>
      <c r="G16" s="280">
        <f t="shared" si="2"/>
        <v>502.70000000000005</v>
      </c>
      <c r="H16" s="280">
        <f t="shared" si="3"/>
        <v>1844.1012374926374</v>
      </c>
      <c r="I16" s="280">
        <f t="shared" si="3"/>
        <v>4690.998762507362</v>
      </c>
      <c r="J16" s="280">
        <f t="shared" si="4"/>
        <v>15309.001237492635</v>
      </c>
    </row>
    <row r="17" spans="1:10" ht="14.25">
      <c r="A17" s="295" t="s">
        <v>35</v>
      </c>
      <c r="B17" s="298">
        <v>0</v>
      </c>
      <c r="C17" s="298"/>
      <c r="D17" s="268">
        <v>14</v>
      </c>
      <c r="E17" s="280">
        <f t="shared" si="1"/>
        <v>121.4914933794497</v>
      </c>
      <c r="F17" s="280">
        <f t="shared" si="0"/>
        <v>381.20850662055034</v>
      </c>
      <c r="G17" s="280">
        <f t="shared" si="2"/>
        <v>502.70000000000005</v>
      </c>
      <c r="H17" s="280">
        <f t="shared" si="3"/>
        <v>1965.592730872087</v>
      </c>
      <c r="I17" s="280">
        <f t="shared" si="3"/>
        <v>5072.207269127912</v>
      </c>
      <c r="J17" s="280">
        <f t="shared" si="4"/>
        <v>14927.792730872085</v>
      </c>
    </row>
    <row r="18" spans="1:10" ht="14.25">
      <c r="A18" s="295" t="s">
        <v>104</v>
      </c>
      <c r="B18" s="298">
        <f>B17/(B21^B9)</f>
        <v>0</v>
      </c>
      <c r="C18" s="298"/>
      <c r="D18" s="268">
        <v>15</v>
      </c>
      <c r="E18" s="280">
        <f t="shared" si="1"/>
        <v>118.46624110859247</v>
      </c>
      <c r="F18" s="280">
        <f t="shared" si="0"/>
        <v>384.23375889140755</v>
      </c>
      <c r="G18" s="280">
        <f t="shared" si="2"/>
        <v>502.70000000000005</v>
      </c>
      <c r="H18" s="280">
        <f t="shared" si="3"/>
        <v>2084.0589719806794</v>
      </c>
      <c r="I18" s="280">
        <f t="shared" si="3"/>
        <v>5456.44102801932</v>
      </c>
      <c r="J18" s="280">
        <f t="shared" si="4"/>
        <v>14543.558971980678</v>
      </c>
    </row>
    <row r="19" spans="1:10" ht="14.25">
      <c r="A19" s="295" t="s">
        <v>105</v>
      </c>
      <c r="B19" s="298">
        <f>B17-B18</f>
        <v>0</v>
      </c>
      <c r="C19" s="298"/>
      <c r="D19" s="268">
        <v>16</v>
      </c>
      <c r="E19" s="280">
        <f t="shared" si="1"/>
        <v>115.4169805820343</v>
      </c>
      <c r="F19" s="280">
        <f t="shared" si="0"/>
        <v>387.28301941796576</v>
      </c>
      <c r="G19" s="280">
        <f t="shared" si="2"/>
        <v>502.70000000000005</v>
      </c>
      <c r="H19" s="280">
        <f t="shared" si="3"/>
        <v>2199.4759525627137</v>
      </c>
      <c r="I19" s="280">
        <f t="shared" si="3"/>
        <v>5843.724047437286</v>
      </c>
      <c r="J19" s="280">
        <f t="shared" si="4"/>
        <v>14156.275952562712</v>
      </c>
    </row>
    <row r="20" spans="2:10" ht="14.25">
      <c r="B20" s="298"/>
      <c r="C20" s="298"/>
      <c r="D20" s="268">
        <v>17</v>
      </c>
      <c r="E20" s="280">
        <f t="shared" si="1"/>
        <v>112.34352127141914</v>
      </c>
      <c r="F20" s="280">
        <f t="shared" si="0"/>
        <v>390.3564787285809</v>
      </c>
      <c r="G20" s="280">
        <f t="shared" si="2"/>
        <v>502.70000000000005</v>
      </c>
      <c r="H20" s="280">
        <f t="shared" si="3"/>
        <v>2311.8194738341326</v>
      </c>
      <c r="I20" s="280">
        <f t="shared" si="3"/>
        <v>6234.080526165866</v>
      </c>
      <c r="J20" s="280">
        <f t="shared" si="4"/>
        <v>13765.91947383413</v>
      </c>
    </row>
    <row r="21" spans="1:10" ht="14.25">
      <c r="A21" s="295" t="s">
        <v>106</v>
      </c>
      <c r="B21" s="295">
        <f>(B11/100)/12+1</f>
        <v>1.007935951633599</v>
      </c>
      <c r="D21" s="268">
        <v>18</v>
      </c>
      <c r="E21" s="280">
        <f t="shared" si="1"/>
        <v>109.24567113636706</v>
      </c>
      <c r="F21" s="280">
        <f t="shared" si="0"/>
        <v>393.454328863633</v>
      </c>
      <c r="G21" s="280">
        <f t="shared" si="2"/>
        <v>502.70000000000005</v>
      </c>
      <c r="H21" s="280">
        <f t="shared" si="3"/>
        <v>2421.0651449704997</v>
      </c>
      <c r="I21" s="280">
        <f t="shared" si="3"/>
        <v>6627.534855029499</v>
      </c>
      <c r="J21" s="280">
        <f t="shared" si="4"/>
        <v>13372.465144970498</v>
      </c>
    </row>
    <row r="22" spans="1:10" ht="14.25">
      <c r="A22" s="295" t="s">
        <v>107</v>
      </c>
      <c r="B22" s="295">
        <f>(B21^B9)/((B21^B9)-1)*(B21-1)</f>
        <v>0.025134189377901368</v>
      </c>
      <c r="D22" s="268">
        <v>19</v>
      </c>
      <c r="E22" s="280">
        <f t="shared" si="1"/>
        <v>106.1232366124751</v>
      </c>
      <c r="F22" s="280">
        <f t="shared" si="0"/>
        <v>396.5767633875249</v>
      </c>
      <c r="G22" s="280">
        <f t="shared" si="2"/>
        <v>502.70000000000005</v>
      </c>
      <c r="H22" s="280">
        <f aca="true" t="shared" si="5" ref="H22:I37">H21+E22</f>
        <v>2527.1883815829747</v>
      </c>
      <c r="I22" s="280">
        <f t="shared" si="5"/>
        <v>7024.111618417024</v>
      </c>
      <c r="J22" s="280">
        <f t="shared" si="4"/>
        <v>12975.888381582972</v>
      </c>
    </row>
    <row r="23" spans="4:10" ht="14.25">
      <c r="D23" s="268">
        <v>20</v>
      </c>
      <c r="E23" s="280">
        <f t="shared" si="1"/>
        <v>102.97602259922245</v>
      </c>
      <c r="F23" s="280">
        <f t="shared" si="0"/>
        <v>399.7239774007776</v>
      </c>
      <c r="G23" s="280">
        <f t="shared" si="2"/>
        <v>502.70000000000005</v>
      </c>
      <c r="H23" s="280">
        <f t="shared" si="5"/>
        <v>2630.164404182197</v>
      </c>
      <c r="I23" s="280">
        <f t="shared" si="5"/>
        <v>7423.835595817802</v>
      </c>
      <c r="J23" s="280">
        <f t="shared" si="4"/>
        <v>12576.164404182195</v>
      </c>
    </row>
    <row r="24" spans="1:10" ht="14.25">
      <c r="A24" s="295" t="s">
        <v>108</v>
      </c>
      <c r="B24" s="308">
        <f>MROUND(B22*B7,0.05)</f>
        <v>502.70000000000005</v>
      </c>
      <c r="D24" s="268">
        <v>21</v>
      </c>
      <c r="E24" s="280">
        <f t="shared" si="1"/>
        <v>99.80383244778001</v>
      </c>
      <c r="F24" s="280">
        <f t="shared" si="0"/>
        <v>402.89616755222005</v>
      </c>
      <c r="G24" s="280">
        <f t="shared" si="2"/>
        <v>502.70000000000005</v>
      </c>
      <c r="H24" s="280">
        <f t="shared" si="5"/>
        <v>2729.968236629977</v>
      </c>
      <c r="I24" s="280">
        <f t="shared" si="5"/>
        <v>7826.731763370022</v>
      </c>
      <c r="J24" s="280">
        <f t="shared" si="4"/>
        <v>12173.268236629974</v>
      </c>
    </row>
    <row r="25" spans="1:10" ht="14.25">
      <c r="A25" s="295" t="s">
        <v>109</v>
      </c>
      <c r="B25" s="309">
        <f>B24*0.0597</f>
        <v>30.011190000000003</v>
      </c>
      <c r="C25" s="298"/>
      <c r="D25" s="268">
        <v>22</v>
      </c>
      <c r="E25" s="280">
        <f t="shared" si="1"/>
        <v>96.60646794872318</v>
      </c>
      <c r="F25" s="280">
        <f t="shared" si="0"/>
        <v>406.09353205127684</v>
      </c>
      <c r="G25" s="280">
        <f t="shared" si="2"/>
        <v>502.70000000000005</v>
      </c>
      <c r="H25" s="280">
        <f t="shared" si="5"/>
        <v>2826.5747045787</v>
      </c>
      <c r="I25" s="280">
        <f t="shared" si="5"/>
        <v>8232.825295421299</v>
      </c>
      <c r="J25" s="280">
        <f t="shared" si="4"/>
        <v>11767.174704578698</v>
      </c>
    </row>
    <row r="26" spans="1:10" ht="14.25">
      <c r="A26" s="295" t="s">
        <v>119</v>
      </c>
      <c r="B26" s="310">
        <f>MROUND(B24*1.0597,0.05)</f>
        <v>532.7</v>
      </c>
      <c r="D26" s="268">
        <v>23</v>
      </c>
      <c r="E26" s="280">
        <f t="shared" si="1"/>
        <v>93.38372931964683</v>
      </c>
      <c r="F26" s="280">
        <f t="shared" si="0"/>
        <v>409.3162706803532</v>
      </c>
      <c r="G26" s="280">
        <f t="shared" si="2"/>
        <v>502.70000000000005</v>
      </c>
      <c r="H26" s="280">
        <f t="shared" si="5"/>
        <v>2919.9584338983473</v>
      </c>
      <c r="I26" s="280">
        <f t="shared" si="5"/>
        <v>8642.14156610165</v>
      </c>
      <c r="J26" s="280">
        <f t="shared" si="4"/>
        <v>11357.858433898346</v>
      </c>
    </row>
    <row r="27" spans="4:10" ht="14.25">
      <c r="D27" s="268">
        <v>24</v>
      </c>
      <c r="E27" s="280">
        <f t="shared" si="1"/>
        <v>90.13541519268243</v>
      </c>
      <c r="F27" s="280">
        <f t="shared" si="0"/>
        <v>412.5645848073176</v>
      </c>
      <c r="G27" s="280">
        <f t="shared" si="2"/>
        <v>502.70000000000005</v>
      </c>
      <c r="H27" s="280">
        <f t="shared" si="5"/>
        <v>3010.09384909103</v>
      </c>
      <c r="I27" s="280">
        <f t="shared" si="5"/>
        <v>9054.706150908969</v>
      </c>
      <c r="J27" s="280">
        <f t="shared" si="4"/>
        <v>10945.293849091027</v>
      </c>
    </row>
    <row r="28" spans="1:10" ht="14.25">
      <c r="A28" s="295" t="s">
        <v>111</v>
      </c>
      <c r="B28" s="298">
        <f>(B24*B9)-B7</f>
        <v>4129.600000000002</v>
      </c>
      <c r="D28" s="268">
        <v>25</v>
      </c>
      <c r="E28" s="280">
        <f t="shared" si="1"/>
        <v>86.86132260191567</v>
      </c>
      <c r="F28" s="280">
        <f t="shared" si="0"/>
        <v>415.83867739808437</v>
      </c>
      <c r="G28" s="280">
        <f t="shared" si="2"/>
        <v>502.70000000000005</v>
      </c>
      <c r="H28" s="280">
        <f t="shared" si="5"/>
        <v>3096.9551716929454</v>
      </c>
      <c r="I28" s="280">
        <f t="shared" si="5"/>
        <v>9470.544828307053</v>
      </c>
      <c r="J28" s="280">
        <f t="shared" si="4"/>
        <v>10529.455171692944</v>
      </c>
    </row>
    <row r="29" spans="1:10" ht="14.25">
      <c r="A29" s="295" t="s">
        <v>112</v>
      </c>
      <c r="B29" s="292">
        <f>B28/(B9/12)</f>
        <v>1032.4000000000005</v>
      </c>
      <c r="D29" s="268">
        <v>26</v>
      </c>
      <c r="E29" s="280">
        <f t="shared" si="1"/>
        <v>83.56124697070467</v>
      </c>
      <c r="F29" s="280">
        <f t="shared" si="0"/>
        <v>419.13875302929534</v>
      </c>
      <c r="G29" s="280">
        <f t="shared" si="2"/>
        <v>502.70000000000005</v>
      </c>
      <c r="H29" s="280">
        <f t="shared" si="5"/>
        <v>3180.5164186636503</v>
      </c>
      <c r="I29" s="280">
        <f t="shared" si="5"/>
        <v>9889.683581336349</v>
      </c>
      <c r="J29" s="280">
        <f t="shared" si="4"/>
        <v>10110.316418663648</v>
      </c>
    </row>
    <row r="30" spans="4:10" ht="14.25">
      <c r="D30" s="268">
        <v>27</v>
      </c>
      <c r="E30" s="280">
        <f t="shared" si="1"/>
        <v>80.23498209889716</v>
      </c>
      <c r="F30" s="280">
        <f t="shared" si="0"/>
        <v>422.4650179011029</v>
      </c>
      <c r="G30" s="280">
        <f t="shared" si="2"/>
        <v>502.70000000000005</v>
      </c>
      <c r="H30" s="280">
        <f t="shared" si="5"/>
        <v>3260.7514007625473</v>
      </c>
      <c r="I30" s="280">
        <f t="shared" si="5"/>
        <v>10312.148599237451</v>
      </c>
      <c r="J30" s="280">
        <f t="shared" si="4"/>
        <v>9687.851400762545</v>
      </c>
    </row>
    <row r="31" spans="2:10" ht="14.25">
      <c r="B31" s="298"/>
      <c r="D31" s="268">
        <v>28</v>
      </c>
      <c r="E31" s="280">
        <f t="shared" si="1"/>
        <v>76.88232014994645</v>
      </c>
      <c r="F31" s="280">
        <f t="shared" si="0"/>
        <v>425.8176798500536</v>
      </c>
      <c r="G31" s="280">
        <f t="shared" si="2"/>
        <v>502.70000000000005</v>
      </c>
      <c r="H31" s="280">
        <f t="shared" si="5"/>
        <v>3337.6337209124936</v>
      </c>
      <c r="I31" s="280">
        <f t="shared" si="5"/>
        <v>10737.966279087505</v>
      </c>
      <c r="J31" s="280">
        <f t="shared" si="4"/>
        <v>9262.033720912492</v>
      </c>
    </row>
    <row r="32" spans="4:10" ht="14.25">
      <c r="D32" s="268">
        <v>29</v>
      </c>
      <c r="E32" s="280">
        <f t="shared" si="1"/>
        <v>73.50305163792505</v>
      </c>
      <c r="F32" s="280">
        <f t="shared" si="0"/>
        <v>429.196948362075</v>
      </c>
      <c r="G32" s="280">
        <f t="shared" si="2"/>
        <v>502.70000000000005</v>
      </c>
      <c r="H32" s="280">
        <f t="shared" si="5"/>
        <v>3411.1367725504188</v>
      </c>
      <c r="I32" s="280">
        <f t="shared" si="5"/>
        <v>11167.163227449579</v>
      </c>
      <c r="J32" s="280">
        <f t="shared" si="4"/>
        <v>8832.836772550418</v>
      </c>
    </row>
    <row r="33" spans="2:10" ht="14.25">
      <c r="B33" s="298"/>
      <c r="D33" s="268">
        <v>30</v>
      </c>
      <c r="E33" s="280">
        <f t="shared" si="1"/>
        <v>70.09696541443533</v>
      </c>
      <c r="F33" s="280">
        <f t="shared" si="0"/>
        <v>432.6030345855647</v>
      </c>
      <c r="G33" s="280">
        <f t="shared" si="2"/>
        <v>502.70000000000005</v>
      </c>
      <c r="H33" s="280">
        <f t="shared" si="5"/>
        <v>3481.2337379648543</v>
      </c>
      <c r="I33" s="280">
        <f t="shared" si="5"/>
        <v>11599.766262035144</v>
      </c>
      <c r="J33" s="280">
        <f t="shared" si="4"/>
        <v>8400.233737964852</v>
      </c>
    </row>
    <row r="34" spans="4:10" ht="14.25">
      <c r="D34" s="268">
        <v>31</v>
      </c>
      <c r="E34" s="280">
        <f t="shared" si="1"/>
        <v>66.6638486554161</v>
      </c>
      <c r="F34" s="280">
        <f t="shared" si="0"/>
        <v>436.0361513445839</v>
      </c>
      <c r="G34" s="280">
        <f t="shared" si="2"/>
        <v>502.70000000000005</v>
      </c>
      <c r="H34" s="280">
        <f t="shared" si="5"/>
        <v>3547.8975866202704</v>
      </c>
      <c r="I34" s="280">
        <f t="shared" si="5"/>
        <v>12035.802413379728</v>
      </c>
      <c r="J34" s="280">
        <f t="shared" si="4"/>
        <v>7964.197586620268</v>
      </c>
    </row>
    <row r="35" spans="4:10" ht="14.25">
      <c r="D35" s="268">
        <v>32</v>
      </c>
      <c r="E35" s="280">
        <f t="shared" si="1"/>
        <v>63.2034868478448</v>
      </c>
      <c r="F35" s="280">
        <f t="shared" si="0"/>
        <v>439.4965131521552</v>
      </c>
      <c r="G35" s="280">
        <f t="shared" si="2"/>
        <v>502.70000000000005</v>
      </c>
      <c r="H35" s="280">
        <f t="shared" si="5"/>
        <v>3611.1010734681154</v>
      </c>
      <c r="I35" s="280">
        <f t="shared" si="5"/>
        <v>12475.298926531883</v>
      </c>
      <c r="J35" s="280">
        <f t="shared" si="4"/>
        <v>7524.7010734681135</v>
      </c>
    </row>
    <row r="36" spans="4:10" ht="14.25">
      <c r="D36" s="268">
        <v>33</v>
      </c>
      <c r="E36" s="280">
        <f t="shared" si="1"/>
        <v>59.71566377633387</v>
      </c>
      <c r="F36" s="280">
        <f t="shared" si="0"/>
        <v>442.98433622366616</v>
      </c>
      <c r="G36" s="280">
        <f t="shared" si="2"/>
        <v>502.70000000000005</v>
      </c>
      <c r="H36" s="280">
        <f t="shared" si="5"/>
        <v>3670.816737244449</v>
      </c>
      <c r="I36" s="280">
        <f t="shared" si="5"/>
        <v>12918.283262755549</v>
      </c>
      <c r="J36" s="280">
        <f t="shared" si="4"/>
        <v>7081.716737244447</v>
      </c>
    </row>
    <row r="37" spans="4:10" ht="14.25">
      <c r="D37" s="268">
        <v>34</v>
      </c>
      <c r="E37" s="280">
        <f t="shared" si="1"/>
        <v>56.20016150962087</v>
      </c>
      <c r="F37" s="280">
        <f t="shared" si="0"/>
        <v>446.49983849037915</v>
      </c>
      <c r="G37" s="280">
        <f t="shared" si="2"/>
        <v>502.70000000000005</v>
      </c>
      <c r="H37" s="280">
        <f t="shared" si="5"/>
        <v>3727.01689875407</v>
      </c>
      <c r="I37" s="280">
        <f t="shared" si="5"/>
        <v>13364.783101245928</v>
      </c>
      <c r="J37" s="280">
        <f t="shared" si="4"/>
        <v>6635.216898754068</v>
      </c>
    </row>
    <row r="38" spans="4:10" ht="14.25">
      <c r="D38" s="268">
        <v>35</v>
      </c>
      <c r="E38" s="280">
        <f t="shared" si="1"/>
        <v>52.656760386951426</v>
      </c>
      <c r="F38" s="280">
        <f t="shared" si="0"/>
        <v>450.0432396130486</v>
      </c>
      <c r="G38" s="280">
        <f t="shared" si="2"/>
        <v>502.70000000000005</v>
      </c>
      <c r="H38" s="280">
        <f aca="true" t="shared" si="6" ref="H38:I53">H37+E38</f>
        <v>3779.6736591410217</v>
      </c>
      <c r="I38" s="280">
        <f t="shared" si="6"/>
        <v>13814.826340858977</v>
      </c>
      <c r="J38" s="280">
        <f t="shared" si="4"/>
        <v>6185.173659141019</v>
      </c>
    </row>
    <row r="39" spans="4:10" ht="14.25">
      <c r="D39" s="268">
        <v>36</v>
      </c>
      <c r="E39" s="280">
        <f t="shared" si="1"/>
        <v>49.08523900435404</v>
      </c>
      <c r="F39" s="280">
        <f t="shared" si="0"/>
        <v>453.614760995646</v>
      </c>
      <c r="G39" s="280">
        <f t="shared" si="2"/>
        <v>502.70000000000005</v>
      </c>
      <c r="H39" s="280">
        <f t="shared" si="6"/>
        <v>3828.758898145376</v>
      </c>
      <c r="I39" s="280">
        <f t="shared" si="6"/>
        <v>14268.441101854623</v>
      </c>
      <c r="J39" s="280">
        <f t="shared" si="4"/>
        <v>5731.558898145373</v>
      </c>
    </row>
    <row r="40" spans="4:10" ht="14.25">
      <c r="D40" s="268">
        <v>37</v>
      </c>
      <c r="E40" s="280">
        <f t="shared" si="1"/>
        <v>45.48537420080599</v>
      </c>
      <c r="F40" s="280">
        <f t="shared" si="0"/>
        <v>457.21462579919404</v>
      </c>
      <c r="G40" s="280">
        <f t="shared" si="2"/>
        <v>502.70000000000005</v>
      </c>
      <c r="H40" s="280">
        <f t="shared" si="6"/>
        <v>3874.244272346182</v>
      </c>
      <c r="I40" s="280">
        <f t="shared" si="6"/>
        <v>14725.655727653817</v>
      </c>
      <c r="J40" s="280">
        <f t="shared" si="4"/>
        <v>5274.3442723461785</v>
      </c>
    </row>
    <row r="41" spans="4:10" ht="14.25">
      <c r="D41" s="268">
        <v>38</v>
      </c>
      <c r="E41" s="280">
        <f t="shared" si="1"/>
        <v>41.85694104428949</v>
      </c>
      <c r="F41" s="280">
        <f t="shared" si="0"/>
        <v>460.84305895571055</v>
      </c>
      <c r="G41" s="280">
        <f t="shared" si="2"/>
        <v>502.70000000000005</v>
      </c>
      <c r="H41" s="280">
        <f t="shared" si="6"/>
        <v>3916.1012133904715</v>
      </c>
      <c r="I41" s="280">
        <f t="shared" si="6"/>
        <v>15186.498786609527</v>
      </c>
      <c r="J41" s="280">
        <f t="shared" si="4"/>
        <v>4813.501213390468</v>
      </c>
    </row>
    <row r="42" spans="4:10" ht="14.25">
      <c r="D42" s="268">
        <v>39</v>
      </c>
      <c r="E42" s="280">
        <f t="shared" si="1"/>
        <v>38.19971281773714</v>
      </c>
      <c r="F42" s="280">
        <f t="shared" si="0"/>
        <v>464.5002871822629</v>
      </c>
      <c r="G42" s="280">
        <f t="shared" si="2"/>
        <v>502.70000000000005</v>
      </c>
      <c r="H42" s="280">
        <f t="shared" si="6"/>
        <v>3954.3009262082087</v>
      </c>
      <c r="I42" s="280">
        <f t="shared" si="6"/>
        <v>15650.99907379179</v>
      </c>
      <c r="J42" s="280">
        <f t="shared" si="4"/>
        <v>4349.000926208206</v>
      </c>
    </row>
    <row r="43" spans="4:10" ht="14.25">
      <c r="D43" s="268">
        <v>40</v>
      </c>
      <c r="E43" s="280">
        <f t="shared" si="1"/>
        <v>34.513461004865825</v>
      </c>
      <c r="F43" s="280">
        <f t="shared" si="0"/>
        <v>468.18653899513424</v>
      </c>
      <c r="G43" s="280">
        <f t="shared" si="2"/>
        <v>502.70000000000005</v>
      </c>
      <c r="H43" s="280">
        <f t="shared" si="6"/>
        <v>3988.8143872130745</v>
      </c>
      <c r="I43" s="280">
        <f t="shared" si="6"/>
        <v>16119.185612786925</v>
      </c>
      <c r="J43" s="280">
        <f t="shared" si="4"/>
        <v>3880.8143872130713</v>
      </c>
    </row>
    <row r="44" spans="4:10" ht="14.25">
      <c r="D44" s="268">
        <v>41</v>
      </c>
      <c r="E44" s="280">
        <f t="shared" si="1"/>
        <v>30.797955275898307</v>
      </c>
      <c r="F44" s="280">
        <f t="shared" si="0"/>
        <v>471.90204472410176</v>
      </c>
      <c r="G44" s="280">
        <f t="shared" si="2"/>
        <v>502.70000000000005</v>
      </c>
      <c r="H44" s="280">
        <f t="shared" si="6"/>
        <v>4019.612342488973</v>
      </c>
      <c r="I44" s="280">
        <f t="shared" si="6"/>
        <v>16591.087657511027</v>
      </c>
      <c r="J44" s="280">
        <f t="shared" si="4"/>
        <v>3408.9123424889694</v>
      </c>
    </row>
    <row r="45" spans="4:10" ht="14.25">
      <c r="D45" s="268">
        <v>42</v>
      </c>
      <c r="E45" s="280">
        <f t="shared" si="1"/>
        <v>27.05296347317133</v>
      </c>
      <c r="F45" s="280">
        <f t="shared" si="0"/>
        <v>475.64703652682874</v>
      </c>
      <c r="G45" s="280">
        <f t="shared" si="2"/>
        <v>502.70000000000005</v>
      </c>
      <c r="H45" s="280">
        <f t="shared" si="6"/>
        <v>4046.6653059621444</v>
      </c>
      <c r="I45" s="280">
        <f t="shared" si="6"/>
        <v>17066.734694037856</v>
      </c>
      <c r="J45" s="280">
        <f t="shared" si="4"/>
        <v>2933.2653059621407</v>
      </c>
    </row>
    <row r="46" spans="4:10" ht="14.25">
      <c r="D46" s="268">
        <v>43</v>
      </c>
      <c r="E46" s="280">
        <f t="shared" si="1"/>
        <v>23.278251596629694</v>
      </c>
      <c r="F46" s="280">
        <f t="shared" si="0"/>
        <v>479.4217484033704</v>
      </c>
      <c r="G46" s="280">
        <f t="shared" si="2"/>
        <v>502.70000000000005</v>
      </c>
      <c r="H46" s="280">
        <f t="shared" si="6"/>
        <v>4069.943557558774</v>
      </c>
      <c r="I46" s="280">
        <f t="shared" si="6"/>
        <v>17546.156442441224</v>
      </c>
      <c r="J46" s="280">
        <f t="shared" si="4"/>
        <v>2453.8435575587705</v>
      </c>
    </row>
    <row r="47" spans="4:10" ht="14.25">
      <c r="D47" s="268">
        <v>44</v>
      </c>
      <c r="E47" s="280">
        <f t="shared" si="1"/>
        <v>19.47358378920505</v>
      </c>
      <c r="F47" s="280">
        <f t="shared" si="0"/>
        <v>483.226416210795</v>
      </c>
      <c r="G47" s="280">
        <f t="shared" si="2"/>
        <v>502.70000000000005</v>
      </c>
      <c r="H47" s="280">
        <f t="shared" si="6"/>
        <v>4089.417141347979</v>
      </c>
      <c r="I47" s="280">
        <f t="shared" si="6"/>
        <v>18029.38285865202</v>
      </c>
      <c r="J47" s="280">
        <f t="shared" si="4"/>
        <v>1970.6171413479756</v>
      </c>
    </row>
    <row r="48" spans="4:10" ht="14.25">
      <c r="D48" s="268">
        <v>45</v>
      </c>
      <c r="E48" s="280">
        <f t="shared" si="1"/>
        <v>15.638722322078774</v>
      </c>
      <c r="F48" s="280">
        <f t="shared" si="0"/>
        <v>487.0612776779213</v>
      </c>
      <c r="G48" s="280">
        <f t="shared" si="2"/>
        <v>502.70000000000005</v>
      </c>
      <c r="H48" s="280">
        <f t="shared" si="6"/>
        <v>4105.055863670058</v>
      </c>
      <c r="I48" s="280">
        <f t="shared" si="6"/>
        <v>18516.44413632994</v>
      </c>
      <c r="J48" s="280">
        <f t="shared" si="4"/>
        <v>1483.5558636700544</v>
      </c>
    </row>
    <row r="49" spans="4:10" ht="14.25">
      <c r="D49" s="268">
        <v>46</v>
      </c>
      <c r="E49" s="280">
        <f t="shared" si="1"/>
        <v>11.77342757982783</v>
      </c>
      <c r="F49" s="280">
        <f t="shared" si="0"/>
        <v>490.9265724201722</v>
      </c>
      <c r="G49" s="280">
        <f t="shared" si="2"/>
        <v>502.70000000000005</v>
      </c>
      <c r="H49" s="280">
        <f t="shared" si="6"/>
        <v>4116.8292912498855</v>
      </c>
      <c r="I49" s="280">
        <f t="shared" si="6"/>
        <v>19007.370708750113</v>
      </c>
      <c r="J49" s="280">
        <f t="shared" si="4"/>
        <v>992.6292912498822</v>
      </c>
    </row>
    <row r="50" spans="4:10" ht="14.25">
      <c r="D50" s="268">
        <v>47</v>
      </c>
      <c r="E50" s="280">
        <f t="shared" si="1"/>
        <v>7.877458045452778</v>
      </c>
      <c r="F50" s="280">
        <f t="shared" si="0"/>
        <v>494.82254195454726</v>
      </c>
      <c r="G50" s="280">
        <f t="shared" si="2"/>
        <v>502.70000000000005</v>
      </c>
      <c r="H50" s="280">
        <f t="shared" si="6"/>
        <v>4124.706749295338</v>
      </c>
      <c r="I50" s="280">
        <f t="shared" si="6"/>
        <v>19502.193250704662</v>
      </c>
      <c r="J50" s="280">
        <f t="shared" si="4"/>
        <v>497.8067492953349</v>
      </c>
    </row>
    <row r="51" spans="4:10" ht="14.25">
      <c r="D51" s="268">
        <v>48</v>
      </c>
      <c r="E51" s="280">
        <f t="shared" si="1"/>
        <v>3.95057028528695</v>
      </c>
      <c r="F51" s="280">
        <f t="shared" si="0"/>
        <v>498.7494297147131</v>
      </c>
      <c r="G51" s="280">
        <f t="shared" si="2"/>
        <v>502.70000000000005</v>
      </c>
      <c r="H51" s="280">
        <f t="shared" si="6"/>
        <v>4128.657319580625</v>
      </c>
      <c r="I51" s="280">
        <f t="shared" si="6"/>
        <v>20000.942680419375</v>
      </c>
      <c r="J51" s="280">
        <f t="shared" si="4"/>
        <v>-0.9426804193781777</v>
      </c>
    </row>
    <row r="52" spans="4:10" ht="14.25">
      <c r="D52" s="268">
        <v>49</v>
      </c>
      <c r="E52" s="280">
        <f t="shared" si="1"/>
        <v>-0.007481066214126094</v>
      </c>
      <c r="F52" s="280">
        <f t="shared" si="0"/>
        <v>502.7074810662142</v>
      </c>
      <c r="G52" s="280">
        <f t="shared" si="2"/>
        <v>502.70000000000005</v>
      </c>
      <c r="H52" s="280">
        <f t="shared" si="6"/>
        <v>4128.6498385144105</v>
      </c>
      <c r="I52" s="280">
        <f t="shared" si="6"/>
        <v>20503.650161485588</v>
      </c>
      <c r="J52" s="280">
        <f t="shared" si="4"/>
        <v>-503.6501614855924</v>
      </c>
    </row>
    <row r="53" spans="4:10" ht="14.25">
      <c r="D53" s="268">
        <v>50</v>
      </c>
      <c r="E53" s="280">
        <f t="shared" si="1"/>
        <v>-3.9969433218040162</v>
      </c>
      <c r="F53" s="280">
        <f t="shared" si="0"/>
        <v>506.69694332180404</v>
      </c>
      <c r="G53" s="280">
        <f t="shared" si="2"/>
        <v>502.70000000000005</v>
      </c>
      <c r="H53" s="280">
        <f t="shared" si="6"/>
        <v>4124.652895192607</v>
      </c>
      <c r="I53" s="280">
        <f t="shared" si="6"/>
        <v>21010.34710480739</v>
      </c>
      <c r="J53" s="280">
        <f t="shared" si="4"/>
        <v>-1010.3471048073964</v>
      </c>
    </row>
    <row r="54" spans="4:10" ht="14.25">
      <c r="D54" s="268">
        <v>51</v>
      </c>
      <c r="E54" s="280">
        <f t="shared" si="1"/>
        <v>-8.018065756898336</v>
      </c>
      <c r="F54" s="280">
        <f t="shared" si="0"/>
        <v>510.7180657568984</v>
      </c>
      <c r="G54" s="280">
        <f t="shared" si="2"/>
        <v>502.70000000000005</v>
      </c>
      <c r="H54" s="280">
        <f aca="true" t="shared" si="7" ref="H54:I69">H53+E54</f>
        <v>4116.6348294357085</v>
      </c>
      <c r="I54" s="280">
        <f t="shared" si="7"/>
        <v>21521.06517056429</v>
      </c>
      <c r="J54" s="280">
        <f t="shared" si="4"/>
        <v>-1521.0651705642947</v>
      </c>
    </row>
    <row r="55" spans="4:10" ht="14.25">
      <c r="D55" s="268">
        <v>52</v>
      </c>
      <c r="E55" s="280">
        <f t="shared" si="1"/>
        <v>-12.071099625150346</v>
      </c>
      <c r="F55" s="280">
        <f t="shared" si="0"/>
        <v>514.7710996251504</v>
      </c>
      <c r="G55" s="280">
        <f t="shared" si="2"/>
        <v>502.7000000000001</v>
      </c>
      <c r="H55" s="280">
        <f t="shared" si="7"/>
        <v>4104.5637298105585</v>
      </c>
      <c r="I55" s="280">
        <f t="shared" si="7"/>
        <v>22035.83627018944</v>
      </c>
      <c r="J55" s="280">
        <f t="shared" si="4"/>
        <v>-2035.8362701894453</v>
      </c>
    </row>
    <row r="56" spans="4:10" ht="14.25">
      <c r="D56" s="268">
        <v>53</v>
      </c>
      <c r="E56" s="280">
        <f t="shared" si="1"/>
        <v>-16.15629817415014</v>
      </c>
      <c r="F56" s="280">
        <f t="shared" si="0"/>
        <v>518.8562981741502</v>
      </c>
      <c r="G56" s="280">
        <f t="shared" si="2"/>
        <v>502.70000000000005</v>
      </c>
      <c r="H56" s="280">
        <f t="shared" si="7"/>
        <v>4088.4074316364085</v>
      </c>
      <c r="I56" s="280">
        <f t="shared" si="7"/>
        <v>22554.69256836359</v>
      </c>
      <c r="J56" s="280">
        <f t="shared" si="4"/>
        <v>-2554.6925683635955</v>
      </c>
    </row>
    <row r="57" spans="4:10" ht="14.25">
      <c r="D57" s="268">
        <v>54</v>
      </c>
      <c r="E57" s="280">
        <f t="shared" si="1"/>
        <v>-20.27391666124845</v>
      </c>
      <c r="F57" s="280">
        <f t="shared" si="0"/>
        <v>522.9739166612485</v>
      </c>
      <c r="G57" s="280">
        <f t="shared" si="2"/>
        <v>502.70000000000005</v>
      </c>
      <c r="H57" s="280">
        <f t="shared" si="7"/>
        <v>4068.1335149751603</v>
      </c>
      <c r="I57" s="280">
        <f t="shared" si="7"/>
        <v>23077.666485024838</v>
      </c>
      <c r="J57" s="280">
        <f t="shared" si="4"/>
        <v>-3077.666485024844</v>
      </c>
    </row>
    <row r="58" spans="4:10" ht="14.25">
      <c r="D58" s="268">
        <v>55</v>
      </c>
      <c r="E58" s="280">
        <f t="shared" si="1"/>
        <v>-24.424212369505984</v>
      </c>
      <c r="F58" s="280">
        <f t="shared" si="0"/>
        <v>527.124212369506</v>
      </c>
      <c r="G58" s="280">
        <f t="shared" si="2"/>
        <v>502.70000000000005</v>
      </c>
      <c r="H58" s="280">
        <f t="shared" si="7"/>
        <v>4043.7093026056546</v>
      </c>
      <c r="I58" s="280">
        <f t="shared" si="7"/>
        <v>23604.790697394343</v>
      </c>
      <c r="J58" s="280">
        <f t="shared" si="4"/>
        <v>-3604.79069739435</v>
      </c>
    </row>
    <row r="59" spans="4:10" ht="14.25">
      <c r="D59" s="268">
        <v>56</v>
      </c>
      <c r="E59" s="280">
        <f t="shared" si="1"/>
        <v>-28.607444623769382</v>
      </c>
      <c r="F59" s="280">
        <f t="shared" si="0"/>
        <v>531.3074446237695</v>
      </c>
      <c r="G59" s="280">
        <f t="shared" si="2"/>
        <v>502.7000000000001</v>
      </c>
      <c r="H59" s="280">
        <f t="shared" si="7"/>
        <v>4015.101857981885</v>
      </c>
      <c r="I59" s="280">
        <f t="shared" si="7"/>
        <v>24136.098142018112</v>
      </c>
      <c r="J59" s="280">
        <f t="shared" si="4"/>
        <v>-4136.09814201812</v>
      </c>
    </row>
    <row r="60" spans="4:10" ht="14.25">
      <c r="D60" s="268">
        <v>57</v>
      </c>
      <c r="E60" s="280">
        <f t="shared" si="1"/>
        <v>-32.823874806874734</v>
      </c>
      <c r="F60" s="280">
        <f t="shared" si="0"/>
        <v>535.5238748068748</v>
      </c>
      <c r="G60" s="280">
        <f t="shared" si="2"/>
        <v>502.70000000000005</v>
      </c>
      <c r="H60" s="280">
        <f t="shared" si="7"/>
        <v>3982.2779831750104</v>
      </c>
      <c r="I60" s="280">
        <f t="shared" si="7"/>
        <v>24671.622016824986</v>
      </c>
      <c r="J60" s="280">
        <f t="shared" si="4"/>
        <v>-4671.622016824995</v>
      </c>
    </row>
    <row r="61" spans="4:10" ht="14.25">
      <c r="D61" s="268">
        <v>58</v>
      </c>
      <c r="E61" s="280">
        <f t="shared" si="1"/>
        <v>-37.07376637597965</v>
      </c>
      <c r="F61" s="280">
        <f t="shared" si="0"/>
        <v>539.7737663759797</v>
      </c>
      <c r="G61" s="280">
        <f t="shared" si="2"/>
        <v>502.70000000000005</v>
      </c>
      <c r="H61" s="280">
        <f t="shared" si="7"/>
        <v>3945.2042167990307</v>
      </c>
      <c r="I61" s="280">
        <f t="shared" si="7"/>
        <v>25211.395783200966</v>
      </c>
      <c r="J61" s="280">
        <f t="shared" si="4"/>
        <v>-5211.395783200975</v>
      </c>
    </row>
    <row r="62" spans="4:10" ht="14.25">
      <c r="D62" s="268">
        <v>59</v>
      </c>
      <c r="E62" s="280">
        <f t="shared" si="1"/>
        <v>-41.35738487902502</v>
      </c>
      <c r="F62" s="280">
        <f t="shared" si="0"/>
        <v>544.0573848790251</v>
      </c>
      <c r="G62" s="280">
        <f t="shared" si="2"/>
        <v>502.7000000000001</v>
      </c>
      <c r="H62" s="280">
        <f t="shared" si="7"/>
        <v>3903.8468319200056</v>
      </c>
      <c r="I62" s="280">
        <f t="shared" si="7"/>
        <v>25755.453168079992</v>
      </c>
      <c r="J62" s="280">
        <f t="shared" si="4"/>
        <v>-5755.45316808</v>
      </c>
    </row>
    <row r="63" spans="4:10" ht="14.25">
      <c r="D63" s="268">
        <v>60</v>
      </c>
      <c r="E63" s="280">
        <f t="shared" si="1"/>
        <v>-45.67499797132736</v>
      </c>
      <c r="F63" s="280">
        <f t="shared" si="0"/>
        <v>548.3749979713274</v>
      </c>
      <c r="G63" s="280">
        <f t="shared" si="2"/>
        <v>502.70000000000005</v>
      </c>
      <c r="H63" s="280">
        <f t="shared" si="7"/>
        <v>3858.1718339486783</v>
      </c>
      <c r="I63" s="280">
        <f t="shared" si="7"/>
        <v>26303.82816605132</v>
      </c>
      <c r="J63" s="280">
        <f t="shared" si="4"/>
        <v>-6303.828166051328</v>
      </c>
    </row>
    <row r="64" spans="4:10" ht="14.25">
      <c r="D64" s="268">
        <v>61</v>
      </c>
      <c r="E64" s="280">
        <f t="shared" si="1"/>
        <v>-50.026875432302795</v>
      </c>
      <c r="F64" s="280">
        <f t="shared" si="0"/>
        <v>552.7268754323028</v>
      </c>
      <c r="G64" s="280">
        <f t="shared" si="2"/>
        <v>502.7</v>
      </c>
      <c r="H64" s="280">
        <f t="shared" si="7"/>
        <v>3808.1449585163755</v>
      </c>
      <c r="I64" s="280">
        <f t="shared" si="7"/>
        <v>26856.55504148362</v>
      </c>
      <c r="J64" s="280">
        <f t="shared" si="4"/>
        <v>-6856.555041483631</v>
      </c>
    </row>
    <row r="65" spans="4:10" ht="14.25">
      <c r="D65" s="268">
        <v>62</v>
      </c>
      <c r="E65" s="280">
        <f t="shared" si="1"/>
        <v>-54.41328918232388</v>
      </c>
      <c r="F65" s="280">
        <f t="shared" si="0"/>
        <v>557.1132891823239</v>
      </c>
      <c r="G65" s="280">
        <f t="shared" si="2"/>
        <v>502.70000000000005</v>
      </c>
      <c r="H65" s="280">
        <f t="shared" si="7"/>
        <v>3753.7316693340517</v>
      </c>
      <c r="I65" s="280">
        <f t="shared" si="7"/>
        <v>27413.668330665947</v>
      </c>
      <c r="J65" s="280">
        <f t="shared" si="4"/>
        <v>-7413.668330665954</v>
      </c>
    </row>
    <row r="66" spans="4:10" ht="14.25">
      <c r="D66" s="268">
        <v>63</v>
      </c>
      <c r="E66" s="280">
        <f t="shared" si="1"/>
        <v>-58.83451329971009</v>
      </c>
      <c r="F66" s="280">
        <f t="shared" si="0"/>
        <v>561.5345132997102</v>
      </c>
      <c r="G66" s="280">
        <f t="shared" si="2"/>
        <v>502.7000000000001</v>
      </c>
      <c r="H66" s="280">
        <f t="shared" si="7"/>
        <v>3694.8971560343416</v>
      </c>
      <c r="I66" s="280">
        <f t="shared" si="7"/>
        <v>27975.202843965657</v>
      </c>
      <c r="J66" s="280">
        <f t="shared" si="4"/>
        <v>-7975.202843965664</v>
      </c>
    </row>
    <row r="67" spans="4:10" ht="14.25">
      <c r="D67" s="268">
        <v>64</v>
      </c>
      <c r="E67" s="280">
        <f t="shared" si="1"/>
        <v>-63.29082403785318</v>
      </c>
      <c r="F67" s="280">
        <f t="shared" si="0"/>
        <v>565.9908240378533</v>
      </c>
      <c r="G67" s="280">
        <f t="shared" si="2"/>
        <v>502.7000000000001</v>
      </c>
      <c r="H67" s="280">
        <f t="shared" si="7"/>
        <v>3631.6063319964883</v>
      </c>
      <c r="I67" s="280">
        <f t="shared" si="7"/>
        <v>28541.19366800351</v>
      </c>
      <c r="J67" s="280">
        <f t="shared" si="4"/>
        <v>-8541.193668003518</v>
      </c>
    </row>
    <row r="68" spans="4:10" ht="14.25">
      <c r="D68" s="268">
        <v>65</v>
      </c>
      <c r="E68" s="280">
        <f t="shared" si="1"/>
        <v>-67.78249984247846</v>
      </c>
      <c r="F68" s="280">
        <f aca="true" t="shared" si="8" ref="F68:F87">$B$24-E68</f>
        <v>570.4824998424785</v>
      </c>
      <c r="G68" s="280">
        <f t="shared" si="2"/>
        <v>502.7000000000001</v>
      </c>
      <c r="H68" s="280">
        <f t="shared" si="7"/>
        <v>3563.82383215401</v>
      </c>
      <c r="I68" s="280">
        <f t="shared" si="7"/>
        <v>29111.676167845988</v>
      </c>
      <c r="J68" s="280">
        <f t="shared" si="4"/>
        <v>-9111.676167845997</v>
      </c>
    </row>
    <row r="69" spans="4:10" ht="14.25">
      <c r="D69" s="268">
        <v>66</v>
      </c>
      <c r="E69" s="280">
        <f t="shared" si="1"/>
        <v>-72.30982136904305</v>
      </c>
      <c r="F69" s="280">
        <f t="shared" si="8"/>
        <v>575.009821369043</v>
      </c>
      <c r="G69" s="280">
        <f t="shared" si="2"/>
        <v>502.7</v>
      </c>
      <c r="H69" s="280">
        <f t="shared" si="7"/>
        <v>3491.5140107849666</v>
      </c>
      <c r="I69" s="280">
        <f t="shared" si="7"/>
        <v>29686.68598921503</v>
      </c>
      <c r="J69" s="280">
        <f t="shared" si="4"/>
        <v>-9686.68598921504</v>
      </c>
    </row>
    <row r="70" spans="4:10" ht="14.25">
      <c r="D70" s="268">
        <v>67</v>
      </c>
      <c r="E70" s="280">
        <f aca="true" t="shared" si="9" ref="E70:E87">J69*$B$11/(100*12)</f>
        <v>-76.87307150027222</v>
      </c>
      <c r="F70" s="280">
        <f t="shared" si="8"/>
        <v>579.5730715002722</v>
      </c>
      <c r="G70" s="280">
        <f aca="true" t="shared" si="10" ref="G70:G87">E70+F70</f>
        <v>502.70000000000005</v>
      </c>
      <c r="H70" s="280">
        <f aca="true" t="shared" si="11" ref="H70:I85">H69+E70</f>
        <v>3414.6409392846945</v>
      </c>
      <c r="I70" s="280">
        <f t="shared" si="11"/>
        <v>30266.259060715303</v>
      </c>
      <c r="J70" s="280">
        <f aca="true" t="shared" si="12" ref="J70:J87">J69-F70</f>
        <v>-10266.259060715312</v>
      </c>
    </row>
    <row r="71" spans="4:10" ht="14.25">
      <c r="D71" s="268">
        <v>68</v>
      </c>
      <c r="E71" s="280">
        <f t="shared" si="9"/>
        <v>-81.47253536383482</v>
      </c>
      <c r="F71" s="280">
        <f t="shared" si="8"/>
        <v>584.1725353638349</v>
      </c>
      <c r="G71" s="280">
        <f t="shared" si="10"/>
        <v>502.70000000000005</v>
      </c>
      <c r="H71" s="280">
        <f t="shared" si="11"/>
        <v>3333.1684039208594</v>
      </c>
      <c r="I71" s="280">
        <f t="shared" si="11"/>
        <v>30850.43159607914</v>
      </c>
      <c r="J71" s="280">
        <f t="shared" si="12"/>
        <v>-10850.431596079146</v>
      </c>
    </row>
    <row r="72" spans="4:10" ht="14.25">
      <c r="D72" s="268">
        <v>69</v>
      </c>
      <c r="E72" s="280">
        <f t="shared" si="9"/>
        <v>-86.10850035015915</v>
      </c>
      <c r="F72" s="280">
        <f t="shared" si="8"/>
        <v>588.8085003501592</v>
      </c>
      <c r="G72" s="280">
        <f t="shared" si="10"/>
        <v>502.70000000000005</v>
      </c>
      <c r="H72" s="280">
        <f t="shared" si="11"/>
        <v>3247.0599035707</v>
      </c>
      <c r="I72" s="280">
        <f t="shared" si="11"/>
        <v>31439.240096429297</v>
      </c>
      <c r="J72" s="280">
        <f t="shared" si="12"/>
        <v>-11439.240096429305</v>
      </c>
    </row>
    <row r="73" spans="4:10" ht="14.25">
      <c r="D73" s="268">
        <v>70</v>
      </c>
      <c r="E73" s="280">
        <f t="shared" si="9"/>
        <v>-90.78125613038999</v>
      </c>
      <c r="F73" s="280">
        <f t="shared" si="8"/>
        <v>593.4812561303901</v>
      </c>
      <c r="G73" s="280">
        <f t="shared" si="10"/>
        <v>502.7000000000001</v>
      </c>
      <c r="H73" s="280">
        <f t="shared" si="11"/>
        <v>3156.27864744031</v>
      </c>
      <c r="I73" s="280">
        <f t="shared" si="11"/>
        <v>32032.72135255969</v>
      </c>
      <c r="J73" s="280">
        <f t="shared" si="12"/>
        <v>-12032.721352559694</v>
      </c>
    </row>
    <row r="74" spans="4:10" ht="14.25">
      <c r="D74" s="268">
        <v>71</v>
      </c>
      <c r="E74" s="280">
        <f t="shared" si="9"/>
        <v>-95.49109467448838</v>
      </c>
      <c r="F74" s="280">
        <f t="shared" si="8"/>
        <v>598.1910946744885</v>
      </c>
      <c r="G74" s="280">
        <f t="shared" si="10"/>
        <v>502.70000000000005</v>
      </c>
      <c r="H74" s="280">
        <f t="shared" si="11"/>
        <v>3060.7875527658216</v>
      </c>
      <c r="I74" s="280">
        <f t="shared" si="11"/>
        <v>32630.91244723418</v>
      </c>
      <c r="J74" s="280">
        <f t="shared" si="12"/>
        <v>-12630.912447234183</v>
      </c>
    </row>
    <row r="75" spans="4:10" ht="14.25">
      <c r="D75" s="268">
        <v>72</v>
      </c>
      <c r="E75" s="280">
        <f t="shared" si="9"/>
        <v>-100.2383102694748</v>
      </c>
      <c r="F75" s="280">
        <f t="shared" si="8"/>
        <v>602.9383102694749</v>
      </c>
      <c r="G75" s="280">
        <f t="shared" si="10"/>
        <v>502.70000000000005</v>
      </c>
      <c r="H75" s="280">
        <f t="shared" si="11"/>
        <v>2960.549242496347</v>
      </c>
      <c r="I75" s="280">
        <f t="shared" si="11"/>
        <v>33233.85075750366</v>
      </c>
      <c r="J75" s="280">
        <f t="shared" si="12"/>
        <v>-13233.850757503658</v>
      </c>
    </row>
    <row r="76" spans="4:10" ht="14.25">
      <c r="D76" s="268">
        <v>73</v>
      </c>
      <c r="E76" s="280">
        <f t="shared" si="9"/>
        <v>-105.02319953781729</v>
      </c>
      <c r="F76" s="280">
        <f t="shared" si="8"/>
        <v>607.7231995378173</v>
      </c>
      <c r="G76" s="280">
        <f t="shared" si="10"/>
        <v>502.70000000000005</v>
      </c>
      <c r="H76" s="280">
        <f t="shared" si="11"/>
        <v>2855.5260429585296</v>
      </c>
      <c r="I76" s="280">
        <f t="shared" si="11"/>
        <v>33841.57395704147</v>
      </c>
      <c r="J76" s="280">
        <f t="shared" si="12"/>
        <v>-13841.573957041475</v>
      </c>
    </row>
    <row r="77" spans="4:10" ht="14.25">
      <c r="D77" s="268">
        <v>74</v>
      </c>
      <c r="E77" s="280">
        <f t="shared" si="9"/>
        <v>-109.84606145596548</v>
      </c>
      <c r="F77" s="280">
        <f t="shared" si="8"/>
        <v>612.5460614559655</v>
      </c>
      <c r="G77" s="280">
        <f t="shared" si="10"/>
        <v>502.70000000000005</v>
      </c>
      <c r="H77" s="280">
        <f t="shared" si="11"/>
        <v>2745.6799815025643</v>
      </c>
      <c r="I77" s="280">
        <f t="shared" si="11"/>
        <v>34454.12001849744</v>
      </c>
      <c r="J77" s="280">
        <f t="shared" si="12"/>
        <v>-14454.12001849744</v>
      </c>
    </row>
    <row r="78" spans="4:10" ht="14.25">
      <c r="D78" s="268">
        <v>75</v>
      </c>
      <c r="E78" s="280">
        <f t="shared" si="9"/>
        <v>-114.70719737303162</v>
      </c>
      <c r="F78" s="280">
        <f t="shared" si="8"/>
        <v>617.4071973730316</v>
      </c>
      <c r="G78" s="280">
        <f t="shared" si="10"/>
        <v>502.70000000000005</v>
      </c>
      <c r="H78" s="280">
        <f t="shared" si="11"/>
        <v>2630.9727841295326</v>
      </c>
      <c r="I78" s="280">
        <f t="shared" si="11"/>
        <v>35071.52721587047</v>
      </c>
      <c r="J78" s="280">
        <f t="shared" si="12"/>
        <v>-15071.527215870472</v>
      </c>
    </row>
    <row r="79" spans="4:10" ht="14.25">
      <c r="D79" s="268">
        <v>76</v>
      </c>
      <c r="E79" s="280">
        <f t="shared" si="9"/>
        <v>-119.60691102961995</v>
      </c>
      <c r="F79" s="280">
        <f t="shared" si="8"/>
        <v>622.30691102962</v>
      </c>
      <c r="G79" s="280">
        <f t="shared" si="10"/>
        <v>502.70000000000005</v>
      </c>
      <c r="H79" s="280">
        <f t="shared" si="11"/>
        <v>2511.3658730999127</v>
      </c>
      <c r="I79" s="280">
        <f t="shared" si="11"/>
        <v>35693.83412690009</v>
      </c>
      <c r="J79" s="280">
        <f t="shared" si="12"/>
        <v>-15693.834126900092</v>
      </c>
    </row>
    <row r="80" spans="4:10" ht="14.25">
      <c r="D80" s="268">
        <v>77</v>
      </c>
      <c r="E80" s="280">
        <f t="shared" si="9"/>
        <v>-124.54550857680545</v>
      </c>
      <c r="F80" s="280">
        <f t="shared" si="8"/>
        <v>627.2455085768055</v>
      </c>
      <c r="G80" s="280">
        <f t="shared" si="10"/>
        <v>502.70000000000005</v>
      </c>
      <c r="H80" s="280">
        <f t="shared" si="11"/>
        <v>2386.8203645231074</v>
      </c>
      <c r="I80" s="280">
        <f t="shared" si="11"/>
        <v>36321.0796354769</v>
      </c>
      <c r="J80" s="280">
        <f t="shared" si="12"/>
        <v>-16321.079635476897</v>
      </c>
    </row>
    <row r="81" spans="4:10" ht="14.25">
      <c r="D81" s="268">
        <v>78</v>
      </c>
      <c r="E81" s="280">
        <f t="shared" si="9"/>
        <v>-129.5232985952632</v>
      </c>
      <c r="F81" s="280">
        <f t="shared" si="8"/>
        <v>632.2232985952633</v>
      </c>
      <c r="G81" s="280">
        <f t="shared" si="10"/>
        <v>502.70000000000005</v>
      </c>
      <c r="H81" s="280">
        <f t="shared" si="11"/>
        <v>2257.2970659278444</v>
      </c>
      <c r="I81" s="280">
        <f t="shared" si="11"/>
        <v>36953.30293407216</v>
      </c>
      <c r="J81" s="280">
        <f t="shared" si="12"/>
        <v>-16953.302934072162</v>
      </c>
    </row>
    <row r="82" spans="4:10" ht="14.25">
      <c r="D82" s="268">
        <v>79</v>
      </c>
      <c r="E82" s="280">
        <f t="shared" si="9"/>
        <v>-134.5405921145497</v>
      </c>
      <c r="F82" s="280">
        <f t="shared" si="8"/>
        <v>637.2405921145497</v>
      </c>
      <c r="G82" s="280">
        <f t="shared" si="10"/>
        <v>502.70000000000005</v>
      </c>
      <c r="H82" s="280">
        <f t="shared" si="11"/>
        <v>2122.7564738132946</v>
      </c>
      <c r="I82" s="280">
        <f t="shared" si="11"/>
        <v>37590.54352618671</v>
      </c>
      <c r="J82" s="280">
        <f t="shared" si="12"/>
        <v>-17590.543526186713</v>
      </c>
    </row>
    <row r="83" spans="4:10" ht="14.25">
      <c r="D83" s="268">
        <v>80</v>
      </c>
      <c r="E83" s="280">
        <f t="shared" si="9"/>
        <v>-139.5977026325368</v>
      </c>
      <c r="F83" s="280">
        <f t="shared" si="8"/>
        <v>642.2977026325368</v>
      </c>
      <c r="G83" s="280">
        <f t="shared" si="10"/>
        <v>502.70000000000005</v>
      </c>
      <c r="H83" s="280">
        <f t="shared" si="11"/>
        <v>1983.1587711807579</v>
      </c>
      <c r="I83" s="280">
        <f t="shared" si="11"/>
        <v>38232.84122881925</v>
      </c>
      <c r="J83" s="280">
        <f t="shared" si="12"/>
        <v>-18232.84122881925</v>
      </c>
    </row>
    <row r="84" spans="4:10" ht="14.25">
      <c r="D84" s="268">
        <v>81</v>
      </c>
      <c r="E84" s="280">
        <f t="shared" si="9"/>
        <v>-144.69494613500038</v>
      </c>
      <c r="F84" s="280">
        <f t="shared" si="8"/>
        <v>647.3949461350004</v>
      </c>
      <c r="G84" s="280">
        <f t="shared" si="10"/>
        <v>502.70000000000005</v>
      </c>
      <c r="H84" s="280">
        <f t="shared" si="11"/>
        <v>1838.4638250457574</v>
      </c>
      <c r="I84" s="280">
        <f t="shared" si="11"/>
        <v>38880.23617495425</v>
      </c>
      <c r="J84" s="280">
        <f t="shared" si="12"/>
        <v>-18880.23617495425</v>
      </c>
    </row>
    <row r="85" spans="4:10" ht="14.25">
      <c r="D85" s="268">
        <v>82</v>
      </c>
      <c r="E85" s="280">
        <f t="shared" si="9"/>
        <v>-149.83264111536425</v>
      </c>
      <c r="F85" s="280">
        <f t="shared" si="8"/>
        <v>652.5326411153643</v>
      </c>
      <c r="G85" s="280">
        <f t="shared" si="10"/>
        <v>502.70000000000005</v>
      </c>
      <c r="H85" s="280">
        <f t="shared" si="11"/>
        <v>1688.631183930393</v>
      </c>
      <c r="I85" s="280">
        <f t="shared" si="11"/>
        <v>39532.76881606961</v>
      </c>
      <c r="J85" s="280">
        <f t="shared" si="12"/>
        <v>-19532.768816069616</v>
      </c>
    </row>
    <row r="86" spans="4:10" ht="14.25">
      <c r="D86" s="268">
        <v>83</v>
      </c>
      <c r="E86" s="280">
        <f t="shared" si="9"/>
        <v>-155.01110859460042</v>
      </c>
      <c r="F86" s="280">
        <f t="shared" si="8"/>
        <v>657.7111085946004</v>
      </c>
      <c r="G86" s="280">
        <f t="shared" si="10"/>
        <v>502.70000000000005</v>
      </c>
      <c r="H86" s="280">
        <f>H85+E86</f>
        <v>1533.6200753357925</v>
      </c>
      <c r="I86" s="280">
        <f>I85+F86</f>
        <v>40190.479924664214</v>
      </c>
      <c r="J86" s="280">
        <f t="shared" si="12"/>
        <v>-20190.479924664218</v>
      </c>
    </row>
    <row r="87" spans="4:10" ht="14.25">
      <c r="D87" s="268">
        <v>84</v>
      </c>
      <c r="E87" s="280">
        <f t="shared" si="9"/>
        <v>-160.23067214128798</v>
      </c>
      <c r="F87" s="280">
        <f t="shared" si="8"/>
        <v>662.930672141288</v>
      </c>
      <c r="G87" s="280">
        <f t="shared" si="10"/>
        <v>502.70000000000005</v>
      </c>
      <c r="H87" s="280">
        <f>H86+E87</f>
        <v>1373.3894031945047</v>
      </c>
      <c r="I87" s="280">
        <f>I86+F87</f>
        <v>40853.4105968055</v>
      </c>
      <c r="J87" s="280">
        <f t="shared" si="12"/>
        <v>-20853.410596805505</v>
      </c>
    </row>
  </sheetData>
  <sheetProtection/>
  <conditionalFormatting sqref="D4:J4">
    <cfRule type="expression" priority="2" dxfId="0">
      <formula>$D4&gt;$B$9</formula>
    </cfRule>
  </conditionalFormatting>
  <conditionalFormatting sqref="D5:J87">
    <cfRule type="expression" priority="1" dxfId="0">
      <formula>$D5&gt;$B$9</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MorinA</dc:creator>
  <cp:keywords/>
  <dc:description/>
  <cp:lastModifiedBy>Stiefenhofer Roman (Cembra Money Bank)</cp:lastModifiedBy>
  <cp:lastPrinted>2024-03-26T13:44:45Z</cp:lastPrinted>
  <dcterms:created xsi:type="dcterms:W3CDTF">2005-09-20T12:30:14Z</dcterms:created>
  <dcterms:modified xsi:type="dcterms:W3CDTF">2024-03-26T15:50:30Z</dcterms:modified>
  <cp:category/>
  <cp:version/>
  <cp:contentType/>
  <cp:contentStatus/>
</cp:coreProperties>
</file>